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anz\Desktop\Hugo Industries Model\"/>
    </mc:Choice>
  </mc:AlternateContent>
  <xr:revisionPtr revIDLastSave="0" documentId="8_{E9E70474-EE8E-44DA-A8E3-2762FB6C5F6D}" xr6:coauthVersionLast="47" xr6:coauthVersionMax="47" xr10:uidLastSave="{00000000-0000-0000-0000-000000000000}"/>
  <bookViews>
    <workbookView xWindow="1950" yWindow="675" windowWidth="17790" windowHeight="15525" xr2:uid="{00000000-000D-0000-FFFF-FFFF00000000}"/>
  </bookViews>
  <sheets>
    <sheet name="Assumptions" sheetId="1" r:id="rId1"/>
    <sheet name="DCF" sheetId="2" r:id="rId2"/>
    <sheet name="Market Trend Data" sheetId="4" r:id="rId3"/>
  </sheets>
  <definedNames>
    <definedName name="Actual_Price">Assumptions!$C$56</definedName>
    <definedName name="Actual_Reserves">Assumptions!$C$57</definedName>
    <definedName name="CapEx">Assumptions!$C$58</definedName>
    <definedName name="Discount_Rate">Assumptions!$C$4</definedName>
    <definedName name="Include_Market_2">Assumptions!$C$49</definedName>
    <definedName name="Include_Market_2_No">Assumptions!$C$69</definedName>
    <definedName name="Include_Market_2_Yes">Assumptions!$C$70</definedName>
    <definedName name="Initial_Marketing_Spend">Assumptions!$C$33</definedName>
    <definedName name="Initial_Upstream_Investment">Assumptions!$C$52</definedName>
    <definedName name="Market_1_Size">Assumptions!$C$7</definedName>
    <definedName name="Market_2_Size">Assumptions!$C$8</definedName>
    <definedName name="Market_2_Stability_Future">Assumptions!$C$59</definedName>
    <definedName name="Mkt_1_All_Years">Assumptions!$E$15:$AC$15</definedName>
    <definedName name="Mkt_1_Growth">Assumptions!$C$9</definedName>
    <definedName name="Mkt_1_Model">Assumptions!$C$5</definedName>
    <definedName name="Mkt_2_Growth">Assumptions!$C$10</definedName>
    <definedName name="Mkt_2_Model">Assumptions!$C$6</definedName>
    <definedName name="OpCosts_Growth_1">Assumptions!$C$26</definedName>
    <definedName name="OpCosts_Growth_2">Assumptions!$C$27</definedName>
    <definedName name="Operating_Costs">Assumptions!$C$60</definedName>
    <definedName name="Pipeline_Capacity">Assumptions!$C$48</definedName>
    <definedName name="Price_Growth_1">Assumptions!$C$24</definedName>
    <definedName name="Price_Growth_2">Assumptions!$C$25</definedName>
    <definedName name="Proceed">Assumptions!$C$53</definedName>
    <definedName name="Start_year">Assumptions!$C$29</definedName>
    <definedName name="Ten_year_CF">Assumptions!$E$42:$N$42</definedName>
    <definedName name="Total_NPV">Assumptions!$C$40</definedName>
    <definedName name="Upfront_Cost_Escalation">Assumptions!$C$32</definedName>
    <definedName name="Upfront_NPV">Assumptions!$C$38</definedName>
    <definedName name="Yr_by_Yr_Growth">Assumptions!$E$18:$AC$19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4" l="1"/>
  <c r="G2" i="4"/>
  <c r="F2" i="4"/>
  <c r="E2" i="4"/>
  <c r="D2" i="4"/>
  <c r="C2" i="4"/>
  <c r="E15" i="1"/>
  <c r="F15" i="1" s="1"/>
  <c r="D2" i="2"/>
  <c r="C2" i="2" s="1"/>
  <c r="C6" i="2" s="1"/>
  <c r="E16" i="1"/>
  <c r="F16" i="1" s="1"/>
  <c r="E23" i="2" s="1"/>
  <c r="D9" i="2"/>
  <c r="D14" i="2" s="1"/>
  <c r="D30" i="2"/>
  <c r="D29" i="2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D44" i="2"/>
  <c r="D43" i="2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D19" i="2"/>
  <c r="D24" i="2" s="1"/>
  <c r="D47" i="2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H6" i="4"/>
  <c r="H4" i="4"/>
  <c r="D23" i="2"/>
  <c r="G16" i="1" l="1"/>
  <c r="D25" i="2"/>
  <c r="D26" i="2"/>
  <c r="E24" i="2"/>
  <c r="D13" i="2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D15" i="2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D6" i="2"/>
  <c r="E2" i="2"/>
  <c r="E14" i="2"/>
  <c r="D16" i="2"/>
  <c r="G15" i="1"/>
  <c r="E13" i="2"/>
  <c r="F23" i="2" l="1"/>
  <c r="H16" i="1"/>
  <c r="E26" i="2"/>
  <c r="F24" i="2"/>
  <c r="E6" i="2"/>
  <c r="F2" i="2"/>
  <c r="E16" i="2"/>
  <c r="F14" i="2"/>
  <c r="D31" i="2"/>
  <c r="D32" i="2" s="1"/>
  <c r="D45" i="2"/>
  <c r="D46" i="2" s="1"/>
  <c r="H15" i="1"/>
  <c r="F13" i="2"/>
  <c r="G23" i="2" l="1"/>
  <c r="I16" i="1"/>
  <c r="G24" i="2"/>
  <c r="F26" i="2"/>
  <c r="F6" i="2"/>
  <c r="G2" i="2"/>
  <c r="D49" i="2"/>
  <c r="D50" i="2" s="1"/>
  <c r="D35" i="2"/>
  <c r="D36" i="2" s="1"/>
  <c r="F16" i="2"/>
  <c r="G14" i="2"/>
  <c r="I15" i="1"/>
  <c r="G13" i="2"/>
  <c r="E31" i="2"/>
  <c r="E45" i="2"/>
  <c r="H23" i="2" l="1"/>
  <c r="J16" i="1"/>
  <c r="H24" i="2"/>
  <c r="G26" i="2"/>
  <c r="H2" i="2"/>
  <c r="G6" i="2"/>
  <c r="D37" i="2"/>
  <c r="D39" i="2" s="1"/>
  <c r="E30" i="2"/>
  <c r="H13" i="2"/>
  <c r="J15" i="1"/>
  <c r="E44" i="2"/>
  <c r="D51" i="2"/>
  <c r="D53" i="2" s="1"/>
  <c r="H14" i="2"/>
  <c r="G16" i="2"/>
  <c r="F31" i="2"/>
  <c r="F45" i="2"/>
  <c r="I23" i="2" l="1"/>
  <c r="K16" i="1"/>
  <c r="E42" i="1"/>
  <c r="I24" i="2"/>
  <c r="H26" i="2"/>
  <c r="H6" i="2"/>
  <c r="I2" i="2"/>
  <c r="E46" i="2"/>
  <c r="G45" i="2"/>
  <c r="G31" i="2"/>
  <c r="I13" i="2"/>
  <c r="K15" i="1"/>
  <c r="H16" i="2"/>
  <c r="I14" i="2"/>
  <c r="E32" i="2"/>
  <c r="L16" i="1" l="1"/>
  <c r="J23" i="2"/>
  <c r="J24" i="2"/>
  <c r="I26" i="2"/>
  <c r="I6" i="2"/>
  <c r="J2" i="2"/>
  <c r="H31" i="2"/>
  <c r="H45" i="2"/>
  <c r="J14" i="2"/>
  <c r="I16" i="2"/>
  <c r="L15" i="1"/>
  <c r="J13" i="2"/>
  <c r="E49" i="2"/>
  <c r="E50" i="2" s="1"/>
  <c r="E35" i="2"/>
  <c r="E36" i="2" s="1"/>
  <c r="K23" i="2" l="1"/>
  <c r="M16" i="1"/>
  <c r="J26" i="2"/>
  <c r="K24" i="2"/>
  <c r="J6" i="2"/>
  <c r="K2" i="2"/>
  <c r="E37" i="2"/>
  <c r="E39" i="2" s="1"/>
  <c r="F30" i="2"/>
  <c r="E51" i="2"/>
  <c r="E53" i="2" s="1"/>
  <c r="F44" i="2"/>
  <c r="I31" i="2"/>
  <c r="I45" i="2"/>
  <c r="M15" i="1"/>
  <c r="K13" i="2"/>
  <c r="J16" i="2"/>
  <c r="K14" i="2"/>
  <c r="N16" i="1" l="1"/>
  <c r="L23" i="2"/>
  <c r="F42" i="1"/>
  <c r="L24" i="2"/>
  <c r="K26" i="2"/>
  <c r="L2" i="2"/>
  <c r="K6" i="2"/>
  <c r="K16" i="2"/>
  <c r="L14" i="2"/>
  <c r="F32" i="2"/>
  <c r="F46" i="2"/>
  <c r="L13" i="2"/>
  <c r="N15" i="1"/>
  <c r="J31" i="2"/>
  <c r="J45" i="2"/>
  <c r="O16" i="1" l="1"/>
  <c r="M23" i="2"/>
  <c r="M24" i="2"/>
  <c r="L26" i="2"/>
  <c r="M2" i="2"/>
  <c r="L6" i="2"/>
  <c r="M14" i="2"/>
  <c r="L16" i="2"/>
  <c r="F35" i="2"/>
  <c r="F36" i="2" s="1"/>
  <c r="K31" i="2"/>
  <c r="K45" i="2"/>
  <c r="F49" i="2"/>
  <c r="F50" i="2" s="1"/>
  <c r="M13" i="2"/>
  <c r="O15" i="1"/>
  <c r="P16" i="1" l="1"/>
  <c r="N23" i="2"/>
  <c r="M26" i="2"/>
  <c r="N24" i="2"/>
  <c r="N2" i="2"/>
  <c r="M6" i="2"/>
  <c r="F37" i="2"/>
  <c r="F39" i="2" s="1"/>
  <c r="G30" i="2"/>
  <c r="F51" i="2"/>
  <c r="F53" i="2" s="1"/>
  <c r="G44" i="2"/>
  <c r="N13" i="2"/>
  <c r="P15" i="1"/>
  <c r="L31" i="2"/>
  <c r="L45" i="2"/>
  <c r="M16" i="2"/>
  <c r="N14" i="2"/>
  <c r="O23" i="2" l="1"/>
  <c r="Q16" i="1"/>
  <c r="G42" i="1"/>
  <c r="O24" i="2"/>
  <c r="N26" i="2"/>
  <c r="N6" i="2"/>
  <c r="O2" i="2"/>
  <c r="G46" i="2"/>
  <c r="Q15" i="1"/>
  <c r="O13" i="2"/>
  <c r="G32" i="2"/>
  <c r="N16" i="2"/>
  <c r="O14" i="2"/>
  <c r="M31" i="2"/>
  <c r="M45" i="2"/>
  <c r="R16" i="1" l="1"/>
  <c r="P23" i="2"/>
  <c r="P24" i="2"/>
  <c r="O26" i="2"/>
  <c r="O6" i="2"/>
  <c r="P2" i="2"/>
  <c r="G49" i="2"/>
  <c r="G50" i="2" s="1"/>
  <c r="N31" i="2"/>
  <c r="N45" i="2"/>
  <c r="P13" i="2"/>
  <c r="R15" i="1"/>
  <c r="G35" i="2"/>
  <c r="G36" i="2" s="1"/>
  <c r="P14" i="2"/>
  <c r="O16" i="2"/>
  <c r="S16" i="1" l="1"/>
  <c r="Q23" i="2"/>
  <c r="P26" i="2"/>
  <c r="Q24" i="2"/>
  <c r="P6" i="2"/>
  <c r="Q2" i="2"/>
  <c r="Q13" i="2"/>
  <c r="S15" i="1"/>
  <c r="O31" i="2"/>
  <c r="O45" i="2"/>
  <c r="G51" i="2"/>
  <c r="G53" i="2" s="1"/>
  <c r="H44" i="2"/>
  <c r="G37" i="2"/>
  <c r="G39" i="2" s="1"/>
  <c r="H30" i="2"/>
  <c r="P16" i="2"/>
  <c r="Q14" i="2"/>
  <c r="T16" i="1" l="1"/>
  <c r="R23" i="2"/>
  <c r="H42" i="1"/>
  <c r="Q26" i="2"/>
  <c r="R24" i="2"/>
  <c r="R2" i="2"/>
  <c r="Q6" i="2"/>
  <c r="T15" i="1"/>
  <c r="R13" i="2"/>
  <c r="P31" i="2"/>
  <c r="P45" i="2"/>
  <c r="H32" i="2"/>
  <c r="R14" i="2"/>
  <c r="Q16" i="2"/>
  <c r="H46" i="2"/>
  <c r="S23" i="2" l="1"/>
  <c r="U16" i="1"/>
  <c r="S24" i="2"/>
  <c r="R26" i="2"/>
  <c r="R6" i="2"/>
  <c r="S2" i="2"/>
  <c r="S14" i="2"/>
  <c r="R16" i="2"/>
  <c r="H35" i="2"/>
  <c r="H36" i="2" s="1"/>
  <c r="Q31" i="2"/>
  <c r="Q45" i="2"/>
  <c r="H49" i="2"/>
  <c r="H50" i="2" s="1"/>
  <c r="U15" i="1"/>
  <c r="S13" i="2"/>
  <c r="T23" i="2" l="1"/>
  <c r="V16" i="1"/>
  <c r="T24" i="2"/>
  <c r="S26" i="2"/>
  <c r="T2" i="2"/>
  <c r="S6" i="2"/>
  <c r="C7" i="2"/>
  <c r="C38" i="1" s="1"/>
  <c r="H37" i="2"/>
  <c r="H39" i="2" s="1"/>
  <c r="I30" i="2"/>
  <c r="R31" i="2"/>
  <c r="R45" i="2"/>
  <c r="T13" i="2"/>
  <c r="V15" i="1"/>
  <c r="H51" i="2"/>
  <c r="H53" i="2" s="1"/>
  <c r="I44" i="2"/>
  <c r="S16" i="2"/>
  <c r="T14" i="2"/>
  <c r="U23" i="2" l="1"/>
  <c r="W16" i="1"/>
  <c r="I42" i="1"/>
  <c r="T26" i="2"/>
  <c r="U24" i="2"/>
  <c r="T6" i="2"/>
  <c r="U2" i="2"/>
  <c r="U13" i="2"/>
  <c r="W15" i="1"/>
  <c r="I32" i="2"/>
  <c r="U14" i="2"/>
  <c r="T16" i="2"/>
  <c r="S31" i="2"/>
  <c r="S45" i="2"/>
  <c r="I46" i="2"/>
  <c r="V23" i="2" l="1"/>
  <c r="X16" i="1"/>
  <c r="V24" i="2"/>
  <c r="U26" i="2"/>
  <c r="V2" i="2"/>
  <c r="U6" i="2"/>
  <c r="I49" i="2"/>
  <c r="I50" i="2" s="1"/>
  <c r="T31" i="2"/>
  <c r="T45" i="2"/>
  <c r="X15" i="1"/>
  <c r="V13" i="2"/>
  <c r="I35" i="2"/>
  <c r="I36" i="2" s="1"/>
  <c r="U16" i="2"/>
  <c r="V14" i="2"/>
  <c r="W23" i="2" l="1"/>
  <c r="Y16" i="1"/>
  <c r="W24" i="2"/>
  <c r="V26" i="2"/>
  <c r="V6" i="2"/>
  <c r="W2" i="2"/>
  <c r="I37" i="2"/>
  <c r="I39" i="2" s="1"/>
  <c r="J30" i="2"/>
  <c r="I51" i="2"/>
  <c r="I53" i="2" s="1"/>
  <c r="J44" i="2"/>
  <c r="U31" i="2"/>
  <c r="U45" i="2"/>
  <c r="W14" i="2"/>
  <c r="V16" i="2"/>
  <c r="Y15" i="1"/>
  <c r="W13" i="2"/>
  <c r="Z16" i="1" l="1"/>
  <c r="X23" i="2"/>
  <c r="J42" i="1"/>
  <c r="W26" i="2"/>
  <c r="X24" i="2"/>
  <c r="X2" i="2"/>
  <c r="W6" i="2"/>
  <c r="X14" i="2"/>
  <c r="W16" i="2"/>
  <c r="J46" i="2"/>
  <c r="J32" i="2"/>
  <c r="V31" i="2"/>
  <c r="V45" i="2"/>
  <c r="Z15" i="1"/>
  <c r="X13" i="2"/>
  <c r="Y23" i="2" l="1"/>
  <c r="AA16" i="1"/>
  <c r="Y24" i="2"/>
  <c r="X26" i="2"/>
  <c r="Y2" i="2"/>
  <c r="X6" i="2"/>
  <c r="J49" i="2"/>
  <c r="J50" i="2" s="1"/>
  <c r="W45" i="2"/>
  <c r="W31" i="2"/>
  <c r="Y13" i="2"/>
  <c r="AA15" i="1"/>
  <c r="J35" i="2"/>
  <c r="J36" i="2" s="1"/>
  <c r="X16" i="2"/>
  <c r="Y14" i="2"/>
  <c r="Z23" i="2" l="1"/>
  <c r="AB16" i="1"/>
  <c r="Y26" i="2"/>
  <c r="Z24" i="2"/>
  <c r="Z2" i="2"/>
  <c r="Y6" i="2"/>
  <c r="J37" i="2"/>
  <c r="J39" i="2" s="1"/>
  <c r="K30" i="2"/>
  <c r="Y16" i="2"/>
  <c r="Z14" i="2"/>
  <c r="Z13" i="2"/>
  <c r="AB15" i="1"/>
  <c r="J51" i="2"/>
  <c r="J53" i="2" s="1"/>
  <c r="K44" i="2"/>
  <c r="X31" i="2"/>
  <c r="X45" i="2"/>
  <c r="AA23" i="2" l="1"/>
  <c r="AC16" i="1"/>
  <c r="AB23" i="2" s="1"/>
  <c r="K42" i="1"/>
  <c r="AA24" i="2"/>
  <c r="Z26" i="2"/>
  <c r="AA2" i="2"/>
  <c r="Z6" i="2"/>
  <c r="Y31" i="2"/>
  <c r="Y45" i="2"/>
  <c r="K46" i="2"/>
  <c r="AA13" i="2"/>
  <c r="AC15" i="1"/>
  <c r="AB13" i="2" s="1"/>
  <c r="K32" i="2"/>
  <c r="Z16" i="2"/>
  <c r="AA14" i="2"/>
  <c r="AA26" i="2" l="1"/>
  <c r="AB24" i="2"/>
  <c r="AB26" i="2" s="1"/>
  <c r="AB2" i="2"/>
  <c r="AA6" i="2"/>
  <c r="K35" i="2"/>
  <c r="K36" i="2" s="1"/>
  <c r="K49" i="2"/>
  <c r="K50" i="2" s="1"/>
  <c r="AA16" i="2"/>
  <c r="AB14" i="2"/>
  <c r="AB16" i="2" s="1"/>
  <c r="Z31" i="2"/>
  <c r="Z45" i="2"/>
  <c r="AB6" i="2" l="1"/>
  <c r="E25" i="2" a="1"/>
  <c r="E15" i="2" a="1"/>
  <c r="K37" i="2"/>
  <c r="K39" i="2" s="1"/>
  <c r="L30" i="2"/>
  <c r="K51" i="2"/>
  <c r="K53" i="2" s="1"/>
  <c r="L44" i="2"/>
  <c r="AB31" i="2"/>
  <c r="AB45" i="2"/>
  <c r="AA31" i="2"/>
  <c r="AA45" i="2"/>
  <c r="L42" i="1" l="1"/>
  <c r="K15" i="2"/>
  <c r="V15" i="2"/>
  <c r="R15" i="2"/>
  <c r="H15" i="2"/>
  <c r="S15" i="2"/>
  <c r="AA15" i="2"/>
  <c r="J15" i="2"/>
  <c r="U15" i="2"/>
  <c r="I15" i="2"/>
  <c r="Z15" i="2"/>
  <c r="T15" i="2"/>
  <c r="X15" i="2"/>
  <c r="Q15" i="2"/>
  <c r="AB15" i="2"/>
  <c r="L15" i="2"/>
  <c r="O15" i="2"/>
  <c r="F15" i="2"/>
  <c r="E15" i="2"/>
  <c r="W15" i="2"/>
  <c r="N15" i="2"/>
  <c r="M15" i="2"/>
  <c r="P15" i="2"/>
  <c r="Y15" i="2"/>
  <c r="G15" i="2"/>
  <c r="T25" i="2"/>
  <c r="V25" i="2"/>
  <c r="O25" i="2"/>
  <c r="W25" i="2"/>
  <c r="Q25" i="2"/>
  <c r="X25" i="2"/>
  <c r="F25" i="2"/>
  <c r="AB25" i="2"/>
  <c r="R25" i="2"/>
  <c r="L25" i="2"/>
  <c r="J25" i="2"/>
  <c r="U25" i="2"/>
  <c r="S25" i="2"/>
  <c r="Y25" i="2"/>
  <c r="G25" i="2"/>
  <c r="I25" i="2"/>
  <c r="N25" i="2"/>
  <c r="Z25" i="2"/>
  <c r="E25" i="2"/>
  <c r="K25" i="2"/>
  <c r="H25" i="2"/>
  <c r="P25" i="2"/>
  <c r="M25" i="2"/>
  <c r="AA25" i="2"/>
  <c r="L46" i="2"/>
  <c r="L32" i="2"/>
  <c r="L35" i="2" l="1"/>
  <c r="L36" i="2" s="1"/>
  <c r="L49" i="2"/>
  <c r="L50" i="2" s="1"/>
  <c r="L51" i="2" l="1"/>
  <c r="L53" i="2" s="1"/>
  <c r="M44" i="2"/>
  <c r="L37" i="2"/>
  <c r="L39" i="2" s="1"/>
  <c r="M30" i="2"/>
  <c r="M42" i="1" l="1"/>
  <c r="M32" i="2"/>
  <c r="M46" i="2"/>
  <c r="M49" i="2" l="1"/>
  <c r="M50" i="2" s="1"/>
  <c r="M35" i="2"/>
  <c r="M36" i="2" s="1"/>
  <c r="M37" i="2" l="1"/>
  <c r="M39" i="2" s="1"/>
  <c r="N30" i="2"/>
  <c r="M51" i="2"/>
  <c r="M53" i="2" s="1"/>
  <c r="N44" i="2"/>
  <c r="N42" i="1" l="1"/>
  <c r="N32" i="2"/>
  <c r="N46" i="2"/>
  <c r="N49" i="2" l="1"/>
  <c r="N50" i="2" s="1"/>
  <c r="N35" i="2"/>
  <c r="N36" i="2" s="1"/>
  <c r="N37" i="2" l="1"/>
  <c r="N39" i="2" s="1"/>
  <c r="O30" i="2"/>
  <c r="N51" i="2"/>
  <c r="N53" i="2" s="1"/>
  <c r="O44" i="2"/>
  <c r="O42" i="1" l="1"/>
  <c r="O46" i="2"/>
  <c r="O32" i="2"/>
  <c r="O35" i="2" l="1"/>
  <c r="O36" i="2" s="1"/>
  <c r="O49" i="2"/>
  <c r="O50" i="2" s="1"/>
  <c r="O51" i="2" l="1"/>
  <c r="O53" i="2" s="1"/>
  <c r="P44" i="2"/>
  <c r="O37" i="2"/>
  <c r="O39" i="2" s="1"/>
  <c r="P30" i="2"/>
  <c r="P42" i="1" l="1"/>
  <c r="P32" i="2"/>
  <c r="P46" i="2"/>
  <c r="P49" i="2" l="1"/>
  <c r="P50" i="2" s="1"/>
  <c r="P35" i="2"/>
  <c r="P36" i="2" s="1"/>
  <c r="P51" i="2" l="1"/>
  <c r="P53" i="2" s="1"/>
  <c r="Q44" i="2"/>
  <c r="P37" i="2"/>
  <c r="P39" i="2" s="1"/>
  <c r="Q30" i="2"/>
  <c r="Q42" i="1" l="1"/>
  <c r="Q32" i="2"/>
  <c r="Q46" i="2"/>
  <c r="Q35" i="2" l="1"/>
  <c r="Q36" i="2" s="1"/>
  <c r="Q49" i="2"/>
  <c r="Q50" i="2" s="1"/>
  <c r="Q51" i="2" l="1"/>
  <c r="Q53" i="2" s="1"/>
  <c r="R44" i="2"/>
  <c r="Q37" i="2"/>
  <c r="Q39" i="2" s="1"/>
  <c r="R30" i="2"/>
  <c r="R42" i="1" l="1"/>
  <c r="R32" i="2"/>
  <c r="R46" i="2"/>
  <c r="R49" i="2" l="1"/>
  <c r="R50" i="2" s="1"/>
  <c r="R35" i="2"/>
  <c r="R36" i="2" s="1"/>
  <c r="R37" i="2" l="1"/>
  <c r="R39" i="2" s="1"/>
  <c r="S30" i="2"/>
  <c r="R51" i="2"/>
  <c r="R53" i="2" s="1"/>
  <c r="S44" i="2"/>
  <c r="S42" i="1" l="1"/>
  <c r="S46" i="2"/>
  <c r="S32" i="2"/>
  <c r="S35" i="2" l="1"/>
  <c r="S36" i="2" s="1"/>
  <c r="S49" i="2"/>
  <c r="S50" i="2" s="1"/>
  <c r="S51" i="2" l="1"/>
  <c r="S53" i="2" s="1"/>
  <c r="T44" i="2"/>
  <c r="S37" i="2"/>
  <c r="S39" i="2" s="1"/>
  <c r="T30" i="2"/>
  <c r="T42" i="1" l="1"/>
  <c r="T32" i="2"/>
  <c r="T46" i="2"/>
  <c r="T49" i="2" l="1"/>
  <c r="T50" i="2" s="1"/>
  <c r="T35" i="2"/>
  <c r="T36" i="2" s="1"/>
  <c r="T37" i="2" l="1"/>
  <c r="T39" i="2" s="1"/>
  <c r="U30" i="2"/>
  <c r="T51" i="2"/>
  <c r="T53" i="2" s="1"/>
  <c r="U44" i="2"/>
  <c r="U42" i="1" l="1"/>
  <c r="U32" i="2"/>
  <c r="U46" i="2"/>
  <c r="U49" i="2" l="1"/>
  <c r="U50" i="2" s="1"/>
  <c r="U35" i="2"/>
  <c r="U36" i="2" s="1"/>
  <c r="U51" i="2" l="1"/>
  <c r="U53" i="2" s="1"/>
  <c r="V44" i="2"/>
  <c r="U37" i="2"/>
  <c r="U39" i="2" s="1"/>
  <c r="V30" i="2"/>
  <c r="V42" i="1" l="1"/>
  <c r="V32" i="2"/>
  <c r="V46" i="2"/>
  <c r="V49" i="2" l="1"/>
  <c r="V50" i="2" s="1"/>
  <c r="V35" i="2"/>
  <c r="V36" i="2" s="1"/>
  <c r="V37" i="2" l="1"/>
  <c r="V39" i="2" s="1"/>
  <c r="W30" i="2"/>
  <c r="V51" i="2"/>
  <c r="V53" i="2" s="1"/>
  <c r="W44" i="2"/>
  <c r="W42" i="1" l="1"/>
  <c r="W46" i="2"/>
  <c r="W32" i="2"/>
  <c r="W35" i="2" l="1"/>
  <c r="W36" i="2" s="1"/>
  <c r="W49" i="2"/>
  <c r="W50" i="2" s="1"/>
  <c r="W37" i="2" l="1"/>
  <c r="W39" i="2" s="1"/>
  <c r="X30" i="2"/>
  <c r="W51" i="2"/>
  <c r="W53" i="2" s="1"/>
  <c r="X44" i="2"/>
  <c r="X42" i="1" l="1"/>
  <c r="X46" i="2"/>
  <c r="X32" i="2"/>
  <c r="X35" i="2" l="1"/>
  <c r="X36" i="2" s="1"/>
  <c r="X49" i="2"/>
  <c r="X50" i="2" s="1"/>
  <c r="X37" i="2" l="1"/>
  <c r="X39" i="2" s="1"/>
  <c r="Y30" i="2"/>
  <c r="X51" i="2"/>
  <c r="X53" i="2" s="1"/>
  <c r="Y44" i="2"/>
  <c r="Y42" i="1" l="1"/>
  <c r="Y46" i="2"/>
  <c r="Y32" i="2"/>
  <c r="Y35" i="2" l="1"/>
  <c r="Y36" i="2" s="1"/>
  <c r="Y49" i="2"/>
  <c r="Y50" i="2" s="1"/>
  <c r="Y37" i="2" l="1"/>
  <c r="Y39" i="2" s="1"/>
  <c r="Z30" i="2"/>
  <c r="Y51" i="2"/>
  <c r="Y53" i="2" s="1"/>
  <c r="Z44" i="2"/>
  <c r="Z42" i="1" l="1"/>
  <c r="Z46" i="2"/>
  <c r="Z32" i="2"/>
  <c r="Z35" i="2" l="1"/>
  <c r="Z36" i="2" s="1"/>
  <c r="Z49" i="2"/>
  <c r="Z50" i="2" s="1"/>
  <c r="Z51" i="2" l="1"/>
  <c r="Z53" i="2" s="1"/>
  <c r="AA44" i="2"/>
  <c r="Z37" i="2"/>
  <c r="Z39" i="2" s="1"/>
  <c r="AA30" i="2"/>
  <c r="AA42" i="1" l="1"/>
  <c r="AA46" i="2"/>
  <c r="AA32" i="2"/>
  <c r="AA49" i="2" l="1"/>
  <c r="AA50" i="2" s="1"/>
  <c r="AA35" i="2"/>
  <c r="AA36" i="2" s="1"/>
  <c r="AA37" i="2" l="1"/>
  <c r="AA39" i="2" s="1"/>
  <c r="AB30" i="2"/>
  <c r="AB32" i="2" s="1"/>
  <c r="AA51" i="2"/>
  <c r="AA53" i="2" s="1"/>
  <c r="AB44" i="2"/>
  <c r="AB46" i="2" s="1"/>
  <c r="AB42" i="1" l="1"/>
  <c r="AB35" i="2"/>
  <c r="AB36" i="2" s="1"/>
  <c r="AB37" i="2" s="1"/>
  <c r="AB39" i="2" s="1"/>
  <c r="AB49" i="2"/>
  <c r="AB50" i="2" s="1"/>
  <c r="AB51" i="2" s="1"/>
  <c r="AB53" i="2" s="1"/>
  <c r="C54" i="2" s="1"/>
  <c r="C70" i="1" s="1"/>
  <c r="C40" i="2" l="1"/>
  <c r="C69" i="1" s="1"/>
  <c r="C40" i="1" s="1"/>
  <c r="AC42" i="1"/>
</calcChain>
</file>

<file path=xl/sharedStrings.xml><?xml version="1.0" encoding="utf-8"?>
<sst xmlns="http://schemas.openxmlformats.org/spreadsheetml/2006/main" count="122" uniqueCount="98">
  <si>
    <t>Results</t>
  </si>
  <si>
    <t>Upfront NPV</t>
  </si>
  <si>
    <t>Total NPV</t>
  </si>
  <si>
    <t>Discount Rate</t>
  </si>
  <si>
    <t>Start year</t>
  </si>
  <si>
    <t>Uncertainties</t>
  </si>
  <si>
    <t>Initial Upstream Investment</t>
  </si>
  <si>
    <t>Initial Marketing Spend</t>
  </si>
  <si>
    <t>Proceed</t>
  </si>
  <si>
    <t>Upfront Cost Escalation</t>
  </si>
  <si>
    <t>Appraisal Results</t>
  </si>
  <si>
    <t>Forecast Price</t>
  </si>
  <si>
    <t>Market 2 Stability Now</t>
  </si>
  <si>
    <t>Pipeline Capacity</t>
  </si>
  <si>
    <t>Include Market 2</t>
  </si>
  <si>
    <t>BCM: 10, 20, 30</t>
  </si>
  <si>
    <t>Actual Price</t>
  </si>
  <si>
    <t>Actual Reserves</t>
  </si>
  <si>
    <t>Operating Costs</t>
  </si>
  <si>
    <t>CapEx</t>
  </si>
  <si>
    <t>Market 2 Stability Future</t>
  </si>
  <si>
    <t>Current Coding or Values (e.g., 0=No, 1=Yes)</t>
  </si>
  <si>
    <t>Low = 620, High = 630</t>
  </si>
  <si>
    <t>Low, Nominal, High; 15, 25, 40</t>
  </si>
  <si>
    <t>value: p</t>
  </si>
  <si>
    <t>value: q</t>
  </si>
  <si>
    <t>currently not a time series model</t>
  </si>
  <si>
    <t>not used in spreadsheet; current value = 0.55</t>
  </si>
  <si>
    <t>not used in spreadsheet; current value = 0</t>
  </si>
  <si>
    <t>Low, Nominal, High; 1500, 4000, 6500</t>
  </si>
  <si>
    <t>Varies, conditioned on other things</t>
  </si>
  <si>
    <t>Intermediate Calculations</t>
  </si>
  <si>
    <t>Include Market 2 No</t>
  </si>
  <si>
    <t>Include Market 2 Yes</t>
  </si>
  <si>
    <t>Yes = 2000 No=0</t>
  </si>
  <si>
    <t>Pipeline Strategy Table Decisions</t>
  </si>
  <si>
    <t>Other Decisions</t>
  </si>
  <si>
    <t>not linked; probabilistic conditioning only</t>
  </si>
  <si>
    <t>not linked; conditioning only; probability = value p</t>
  </si>
  <si>
    <t>import node</t>
  </si>
  <si>
    <t>Market 1 Size Year 1</t>
  </si>
  <si>
    <t>Market 2 Size Year 1</t>
  </si>
  <si>
    <t>Cash Flow</t>
  </si>
  <si>
    <t>Market 2</t>
  </si>
  <si>
    <t>Upfront Spend</t>
  </si>
  <si>
    <t>NPV</t>
  </si>
  <si>
    <t>1=Flat; 2=Annual %; 3=Year by Year %; 4=Trend</t>
  </si>
  <si>
    <t>Market 1</t>
  </si>
  <si>
    <t>Market 1 Size</t>
  </si>
  <si>
    <t>Market 2 Size</t>
  </si>
  <si>
    <t>Market 1 Size: Option 1</t>
  </si>
  <si>
    <t>Market 1 Size: Option 2</t>
  </si>
  <si>
    <t>Market 1 Size: Option 3</t>
  </si>
  <si>
    <t>Market Size in Start Year</t>
  </si>
  <si>
    <t>Currently Selected Market 1 Size</t>
  </si>
  <si>
    <t>Currently Selected Market 2 Size</t>
  </si>
  <si>
    <t>Cash Flow: Market 1 Only</t>
  </si>
  <si>
    <t>NPV: Market 1 Only</t>
  </si>
  <si>
    <t>Market 2 Size: Option 1</t>
  </si>
  <si>
    <t>Market 2 Size: Option 2</t>
  </si>
  <si>
    <t>Market 2 Size: Option 3</t>
  </si>
  <si>
    <t>Remaining Reserves</t>
  </si>
  <si>
    <t>Market Demand</t>
  </si>
  <si>
    <t>Market 1 Only: Capacity and Production Calculations</t>
  </si>
  <si>
    <t>Including Market 2: Capacity and Production Calculations</t>
  </si>
  <si>
    <t>Potential Production</t>
  </si>
  <si>
    <t>Profits from Potential Production</t>
  </si>
  <si>
    <t>Actual Production Profits</t>
  </si>
  <si>
    <t xml:space="preserve">Actual Production  </t>
  </si>
  <si>
    <t>Cash Flow: Include Market 2</t>
  </si>
  <si>
    <t>NPV: Include Market 2</t>
  </si>
  <si>
    <t>Column Numbers for Lookup</t>
  </si>
  <si>
    <t>Annual Price Growth Market 1</t>
  </si>
  <si>
    <t>Annual Price Growth Market 2</t>
  </si>
  <si>
    <t>Stable, Moderate, Unstable; 1, 0.5, 0.05</t>
  </si>
  <si>
    <t>Annual Op Costs Growth Market 1</t>
  </si>
  <si>
    <t>Annual Op Costs Growth Market 2</t>
  </si>
  <si>
    <t xml:space="preserve">Price </t>
  </si>
  <si>
    <t>Price</t>
  </si>
  <si>
    <t>parameter; not in DPL</t>
  </si>
  <si>
    <t>linked value node</t>
  </si>
  <si>
    <t>Low, Nominal, High; 18, 20, 22</t>
  </si>
  <si>
    <t>Market 1 Growth Model Choice</t>
  </si>
  <si>
    <t>Total Annual Cash Flow (Time Series)</t>
  </si>
  <si>
    <t>Market 2 Growth Model Choice</t>
  </si>
  <si>
    <t>Year by Year % Growth for Market 1, Option 3</t>
  </si>
  <si>
    <t>Year by Year % Growth for Market 2, Option 3</t>
  </si>
  <si>
    <t>Market 1 Size: Option 4 (Trend Formula)</t>
  </si>
  <si>
    <t>Market 2 Size: Option 4 (Trend Formula)</t>
  </si>
  <si>
    <t>Annual % Growth Market 2, Option 2</t>
  </si>
  <si>
    <t>Annual % Growth Market 1, Option 2</t>
  </si>
  <si>
    <t>Color coded blue, yellow or green ===&gt; currently linked to DPL</t>
  </si>
  <si>
    <t>Other Assumptions</t>
  </si>
  <si>
    <t>Yes = 1, No = 0</t>
  </si>
  <si>
    <t>Annual Growth Assumptions for Market Growth Models</t>
  </si>
  <si>
    <t>Input switches: decisions and uncertainties linked to DPL</t>
  </si>
  <si>
    <t>DPL only</t>
  </si>
  <si>
    <t>Basic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</si>
</sst>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.0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1F5E7"/>
        <bgColor indexed="64"/>
      </patternFill>
    </fill>
    <fill>
      <patternFill patternType="solid">
        <fgColor rgb="FFA7957D"/>
        <bgColor indexed="64"/>
      </patternFill>
    </fill>
    <fill>
      <patternFill patternType="solid">
        <fgColor rgb="FFCDF7F6"/>
        <bgColor indexed="64"/>
      </patternFill>
    </fill>
    <fill>
      <patternFill patternType="solid">
        <fgColor rgb="FFFCFBCC"/>
        <bgColor indexed="64"/>
      </patternFill>
    </fill>
    <fill>
      <patternFill patternType="solid">
        <fgColor rgb="FFC6F6C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6" fillId="0" borderId="6" xfId="0" applyFont="1" applyFill="1" applyBorder="1" applyAlignment="1">
      <alignment horizontal="center"/>
    </xf>
    <xf numFmtId="0" fontId="0" fillId="0" borderId="6" xfId="0" applyFill="1" applyBorder="1"/>
    <xf numFmtId="0" fontId="5" fillId="0" borderId="3" xfId="0" applyFont="1" applyFill="1" applyBorder="1"/>
    <xf numFmtId="8" fontId="5" fillId="0" borderId="4" xfId="0" applyNumberFormat="1" applyFont="1" applyFill="1" applyBorder="1"/>
    <xf numFmtId="0" fontId="3" fillId="0" borderId="7" xfId="3" applyNumberFormat="1" applyFont="1" applyFill="1" applyBorder="1" applyAlignment="1" applyProtection="1">
      <alignment horizontal="left"/>
    </xf>
    <xf numFmtId="0" fontId="3" fillId="0" borderId="6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6" fillId="2" borderId="0" xfId="0" applyFont="1" applyFill="1" applyAlignment="1"/>
    <xf numFmtId="0" fontId="0" fillId="2" borderId="0" xfId="0" applyFill="1" applyAlignment="1">
      <alignment horizontal="left"/>
    </xf>
    <xf numFmtId="3" fontId="3" fillId="3" borderId="9" xfId="3" applyNumberFormat="1" applyFont="1" applyFill="1" applyBorder="1" applyAlignment="1" applyProtection="1">
      <alignment horizontal="left" indent="1"/>
    </xf>
    <xf numFmtId="3" fontId="3" fillId="3" borderId="10" xfId="3" applyNumberFormat="1" applyFont="1" applyFill="1" applyBorder="1" applyAlignment="1" applyProtection="1">
      <alignment horizontal="left" indent="1"/>
    </xf>
    <xf numFmtId="0" fontId="0" fillId="3" borderId="11" xfId="0" applyFill="1" applyBorder="1"/>
    <xf numFmtId="0" fontId="0" fillId="3" borderId="10" xfId="0" applyFill="1" applyBorder="1"/>
    <xf numFmtId="3" fontId="3" fillId="3" borderId="11" xfId="3" applyNumberFormat="1" applyFont="1" applyFill="1" applyBorder="1" applyAlignment="1" applyProtection="1">
      <alignment horizontal="left" indent="1"/>
    </xf>
    <xf numFmtId="0" fontId="3" fillId="3" borderId="11" xfId="0" applyFont="1" applyFill="1" applyBorder="1"/>
    <xf numFmtId="0" fontId="3" fillId="3" borderId="10" xfId="0" applyFont="1" applyFill="1" applyBorder="1"/>
    <xf numFmtId="3" fontId="15" fillId="0" borderId="2" xfId="3" applyNumberFormat="1" applyFont="1" applyFill="1" applyBorder="1" applyAlignment="1" applyProtection="1">
      <alignment horizontal="left" indent="1"/>
    </xf>
    <xf numFmtId="0" fontId="16" fillId="0" borderId="2" xfId="0" applyFont="1" applyFill="1" applyBorder="1" applyAlignment="1">
      <alignment horizontal="left" indent="1"/>
    </xf>
    <xf numFmtId="0" fontId="16" fillId="0" borderId="3" xfId="0" applyFont="1" applyFill="1" applyBorder="1" applyAlignment="1">
      <alignment horizontal="left" indent="1"/>
    </xf>
    <xf numFmtId="0" fontId="16" fillId="2" borderId="0" xfId="0" applyFont="1" applyFill="1" applyAlignment="1">
      <alignment horizontal="left" indent="1"/>
    </xf>
    <xf numFmtId="0" fontId="15" fillId="0" borderId="7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left" indent="1"/>
    </xf>
    <xf numFmtId="3" fontId="15" fillId="0" borderId="7" xfId="3" applyNumberFormat="1" applyFont="1" applyFill="1" applyBorder="1" applyAlignment="1" applyProtection="1">
      <alignment horizontal="left" indent="1"/>
    </xf>
    <xf numFmtId="0" fontId="17" fillId="0" borderId="2" xfId="0" applyFont="1" applyFill="1" applyBorder="1" applyAlignment="1">
      <alignment horizontal="left" indent="1"/>
    </xf>
    <xf numFmtId="0" fontId="17" fillId="0" borderId="3" xfId="0" applyFont="1" applyFill="1" applyBorder="1" applyAlignment="1">
      <alignment horizontal="left" indent="1"/>
    </xf>
    <xf numFmtId="0" fontId="16" fillId="0" borderId="7" xfId="0" applyFont="1" applyFill="1" applyBorder="1" applyAlignment="1">
      <alignment horizontal="left" indent="1"/>
    </xf>
    <xf numFmtId="3" fontId="18" fillId="3" borderId="9" xfId="3" applyNumberFormat="1" applyFont="1" applyFill="1" applyBorder="1" applyAlignment="1" applyProtection="1">
      <alignment horizontal="left" indent="1"/>
    </xf>
    <xf numFmtId="0" fontId="7" fillId="2" borderId="0" xfId="0" applyFont="1" applyFill="1" applyAlignment="1">
      <alignment horizontal="left"/>
    </xf>
    <xf numFmtId="8" fontId="5" fillId="2" borderId="0" xfId="0" applyNumberFormat="1" applyFont="1" applyFill="1"/>
    <xf numFmtId="166" fontId="0" fillId="2" borderId="0" xfId="0" applyNumberFormat="1" applyFill="1"/>
    <xf numFmtId="0" fontId="10" fillId="3" borderId="9" xfId="3" applyNumberFormat="1" applyFont="1" applyFill="1" applyBorder="1" applyAlignment="1" applyProtection="1">
      <alignment horizontal="center"/>
    </xf>
    <xf numFmtId="0" fontId="3" fillId="3" borderId="11" xfId="3" applyNumberFormat="1" applyFont="1" applyFill="1" applyBorder="1" applyAlignment="1" applyProtection="1">
      <alignment horizontal="center"/>
    </xf>
    <xf numFmtId="0" fontId="3" fillId="3" borderId="10" xfId="3" applyNumberFormat="1" applyFont="1" applyFill="1" applyBorder="1" applyAlignment="1" applyProtection="1">
      <alignment horizontal="center"/>
    </xf>
    <xf numFmtId="0" fontId="3" fillId="3" borderId="9" xfId="3" applyNumberFormat="1" applyFont="1" applyFill="1" applyBorder="1" applyAlignment="1" applyProtection="1">
      <alignment horizontal="left"/>
    </xf>
    <xf numFmtId="165" fontId="0" fillId="2" borderId="0" xfId="0" applyNumberFormat="1" applyFill="1"/>
    <xf numFmtId="0" fontId="5" fillId="2" borderId="0" xfId="0" applyFont="1" applyFill="1"/>
    <xf numFmtId="0" fontId="16" fillId="0" borderId="2" xfId="0" applyFont="1" applyFill="1" applyBorder="1"/>
    <xf numFmtId="0" fontId="16" fillId="0" borderId="7" xfId="0" applyFont="1" applyFill="1" applyBorder="1"/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19" fillId="0" borderId="2" xfId="0" applyFont="1" applyFill="1" applyBorder="1"/>
    <xf numFmtId="0" fontId="18" fillId="3" borderId="9" xfId="3" applyNumberFormat="1" applyFont="1" applyFill="1" applyBorder="1" applyAlignment="1" applyProtection="1">
      <alignment horizontal="left"/>
    </xf>
    <xf numFmtId="0" fontId="11" fillId="0" borderId="0" xfId="0" applyFont="1" applyFill="1" applyBorder="1"/>
    <xf numFmtId="0" fontId="11" fillId="0" borderId="1" xfId="0" applyFont="1" applyFill="1" applyBorder="1"/>
    <xf numFmtId="0" fontId="11" fillId="0" borderId="6" xfId="0" applyFont="1" applyFill="1" applyBorder="1"/>
    <xf numFmtId="0" fontId="11" fillId="0" borderId="8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8" fontId="12" fillId="0" borderId="0" xfId="0" applyNumberFormat="1" applyFont="1" applyFill="1" applyBorder="1"/>
    <xf numFmtId="0" fontId="13" fillId="0" borderId="0" xfId="0" applyFont="1" applyFill="1" applyBorder="1"/>
    <xf numFmtId="0" fontId="13" fillId="0" borderId="1" xfId="0" applyFont="1" applyFill="1" applyBorder="1"/>
    <xf numFmtId="0" fontId="12" fillId="0" borderId="0" xfId="0" applyFont="1" applyFill="1" applyBorder="1"/>
    <xf numFmtId="1" fontId="11" fillId="0" borderId="0" xfId="0" applyNumberFormat="1" applyFont="1" applyFill="1" applyBorder="1"/>
    <xf numFmtId="1" fontId="11" fillId="0" borderId="1" xfId="0" applyNumberFormat="1" applyFont="1" applyFill="1" applyBorder="1"/>
    <xf numFmtId="1" fontId="12" fillId="0" borderId="0" xfId="0" applyNumberFormat="1" applyFont="1" applyFill="1" applyBorder="1"/>
    <xf numFmtId="1" fontId="12" fillId="0" borderId="1" xfId="0" applyNumberFormat="1" applyFont="1" applyFill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1" xfId="0" applyNumberFormat="1" applyFont="1" applyFill="1" applyBorder="1"/>
    <xf numFmtId="3" fontId="12" fillId="0" borderId="0" xfId="0" applyNumberFormat="1" applyFont="1" applyFill="1" applyBorder="1"/>
    <xf numFmtId="165" fontId="11" fillId="0" borderId="1" xfId="0" applyNumberFormat="1" applyFont="1" applyFill="1" applyBorder="1"/>
    <xf numFmtId="165" fontId="12" fillId="0" borderId="0" xfId="0" applyNumberFormat="1" applyFont="1" applyFill="1" applyBorder="1"/>
    <xf numFmtId="9" fontId="12" fillId="4" borderId="12" xfId="2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1" fontId="12" fillId="4" borderId="13" xfId="2" applyNumberFormat="1" applyFont="1" applyFill="1" applyBorder="1" applyAlignment="1">
      <alignment horizontal="center"/>
    </xf>
    <xf numFmtId="164" fontId="12" fillId="0" borderId="13" xfId="2" applyNumberFormat="1" applyFont="1" applyFill="1" applyBorder="1" applyAlignment="1">
      <alignment horizontal="center"/>
    </xf>
    <xf numFmtId="1" fontId="11" fillId="0" borderId="7" xfId="0" applyNumberFormat="1" applyFont="1" applyFill="1" applyBorder="1"/>
    <xf numFmtId="1" fontId="11" fillId="0" borderId="6" xfId="0" applyNumberFormat="1" applyFont="1" applyFill="1" applyBorder="1"/>
    <xf numFmtId="1" fontId="11" fillId="0" borderId="8" xfId="0" applyNumberFormat="1" applyFont="1" applyFill="1" applyBorder="1"/>
    <xf numFmtId="0" fontId="11" fillId="0" borderId="3" xfId="0" applyFont="1" applyFill="1" applyBorder="1"/>
    <xf numFmtId="1" fontId="11" fillId="0" borderId="4" xfId="0" applyNumberFormat="1" applyFont="1" applyFill="1" applyBorder="1"/>
    <xf numFmtId="1" fontId="11" fillId="0" borderId="5" xfId="0" applyNumberFormat="1" applyFont="1" applyFill="1" applyBorder="1"/>
    <xf numFmtId="0" fontId="14" fillId="0" borderId="0" xfId="0" applyFont="1" applyFill="1" applyBorder="1"/>
    <xf numFmtId="2" fontId="11" fillId="0" borderId="7" xfId="2" applyNumberFormat="1" applyFont="1" applyFill="1" applyBorder="1"/>
    <xf numFmtId="2" fontId="11" fillId="0" borderId="6" xfId="2" applyNumberFormat="1" applyFont="1" applyFill="1" applyBorder="1"/>
    <xf numFmtId="2" fontId="11" fillId="0" borderId="8" xfId="2" applyNumberFormat="1" applyFont="1" applyFill="1" applyBorder="1"/>
    <xf numFmtId="2" fontId="11" fillId="0" borderId="3" xfId="2" applyNumberFormat="1" applyFont="1" applyFill="1" applyBorder="1"/>
    <xf numFmtId="2" fontId="11" fillId="0" borderId="4" xfId="2" applyNumberFormat="1" applyFont="1" applyFill="1" applyBorder="1"/>
    <xf numFmtId="2" fontId="11" fillId="0" borderId="5" xfId="2" applyNumberFormat="1" applyFont="1" applyFill="1" applyBorder="1"/>
    <xf numFmtId="9" fontId="12" fillId="0" borderId="13" xfId="2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" fontId="12" fillId="0" borderId="13" xfId="2" applyNumberFormat="1" applyFont="1" applyFill="1" applyBorder="1" applyAlignment="1">
      <alignment horizontal="center"/>
    </xf>
    <xf numFmtId="8" fontId="12" fillId="0" borderId="1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" fontId="12" fillId="5" borderId="13" xfId="2" applyNumberFormat="1" applyFont="1" applyFill="1" applyBorder="1" applyAlignment="1">
      <alignment horizontal="center"/>
    </xf>
    <xf numFmtId="1" fontId="12" fillId="6" borderId="13" xfId="2" applyNumberFormat="1" applyFont="1" applyFill="1" applyBorder="1" applyAlignment="1">
      <alignment horizontal="center"/>
    </xf>
    <xf numFmtId="1" fontId="13" fillId="0" borderId="0" xfId="2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3" fontId="14" fillId="0" borderId="6" xfId="3" applyNumberFormat="1" applyFont="1" applyFill="1" applyBorder="1" applyAlignment="1" applyProtection="1">
      <alignment horizontal="left" indent="1"/>
    </xf>
    <xf numFmtId="166" fontId="12" fillId="0" borderId="0" xfId="0" applyNumberFormat="1" applyFont="1" applyFill="1" applyBorder="1" applyAlignment="1">
      <alignment horizontal="center"/>
    </xf>
    <xf numFmtId="167" fontId="12" fillId="0" borderId="0" xfId="1" applyNumberFormat="1" applyFont="1" applyFill="1" applyBorder="1"/>
    <xf numFmtId="166" fontId="12" fillId="0" borderId="4" xfId="0" applyNumberFormat="1" applyFont="1" applyFill="1" applyBorder="1" applyAlignment="1">
      <alignment horizontal="center"/>
    </xf>
    <xf numFmtId="167" fontId="12" fillId="0" borderId="4" xfId="1" applyNumberFormat="1" applyFont="1" applyFill="1" applyBorder="1"/>
    <xf numFmtId="0" fontId="11" fillId="0" borderId="6" xfId="0" applyFont="1" applyFill="1" applyBorder="1" applyAlignment="1">
      <alignment horizontal="center"/>
    </xf>
    <xf numFmtId="1" fontId="11" fillId="0" borderId="4" xfId="2" applyNumberFormat="1" applyFont="1" applyFill="1" applyBorder="1" applyAlignment="1">
      <alignment horizontal="center"/>
    </xf>
    <xf numFmtId="0" fontId="14" fillId="0" borderId="6" xfId="0" applyFont="1" applyFill="1" applyBorder="1"/>
    <xf numFmtId="3" fontId="14" fillId="0" borderId="11" xfId="3" applyNumberFormat="1" applyFont="1" applyFill="1" applyBorder="1" applyAlignment="1" applyProtection="1">
      <alignment horizontal="left" indent="1"/>
    </xf>
    <xf numFmtId="3" fontId="14" fillId="0" borderId="0" xfId="3" applyNumberFormat="1" applyFont="1" applyFill="1" applyBorder="1" applyAlignment="1" applyProtection="1">
      <alignment horizontal="left" indent="1"/>
    </xf>
    <xf numFmtId="0" fontId="11" fillId="0" borderId="0" xfId="0" applyFont="1" applyFill="1" applyBorder="1" applyAlignment="1"/>
    <xf numFmtId="0" fontId="11" fillId="0" borderId="0" xfId="3" applyNumberFormat="1" applyFont="1" applyFill="1" applyBorder="1" applyAlignment="1" applyProtection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/>
    <xf numFmtId="3" fontId="15" fillId="3" borderId="10" xfId="3" applyNumberFormat="1" applyFont="1" applyFill="1" applyBorder="1" applyAlignment="1" applyProtection="1">
      <alignment horizontal="left" indent="1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1" fillId="0" borderId="0" xfId="0" applyFont="1" applyFill="1" applyBorder="1" applyAlignment="1"/>
  </cellXfs>
  <cellStyles count="4">
    <cellStyle name="Currency" xfId="1" builtinId="4"/>
    <cellStyle name="Normal" xfId="0" builtinId="0"/>
    <cellStyle name="Percent" xfId="2" builtinId="5"/>
    <cellStyle name="Standard_20020617_Modell_PUFA_neu_v9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B2D3F"/>
      <rgbColor rgb="000000FF"/>
      <rgbColor rgb="002E1700"/>
      <rgbColor rgb="00000000"/>
      <rgbColor rgb="00FFFDDC"/>
      <rgbColor rgb="00800000"/>
      <rgbColor rgb="00008000"/>
      <rgbColor rgb="00000080"/>
      <rgbColor rgb="00808000"/>
      <rgbColor rgb="00800080"/>
      <rgbColor rgb="00008080"/>
      <rgbColor rgb="0099FF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7E3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11D26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E69D1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showGridLines="0" tabSelected="1" zoomScaleNormal="100" workbookViewId="0">
      <selection activeCell="G28" sqref="G28"/>
    </sheetView>
  </sheetViews>
  <sheetFormatPr defaultColWidth="0" defaultRowHeight="12.75" zeroHeight="1" x14ac:dyDescent="0.2"/>
  <cols>
    <col min="1" max="1" width="2.7109375" style="15" customWidth="1"/>
    <col min="2" max="2" width="33.5703125" style="18" customWidth="1"/>
    <col min="3" max="3" width="20.5703125" style="15" customWidth="1"/>
    <col min="4" max="4" width="43" style="15" hidden="1" customWidth="1"/>
    <col min="5" max="5" width="7.28515625" style="15" bestFit="1" customWidth="1"/>
    <col min="6" max="29" width="5.7109375" style="15" bestFit="1" customWidth="1"/>
    <col min="30" max="30" width="2.7109375" style="15" customWidth="1"/>
    <col min="31" max="31" width="6.5703125" style="15" customWidth="1"/>
    <col min="32" max="16384" width="9.140625" style="15" hidden="1"/>
  </cols>
  <sheetData>
    <row r="1" spans="2:30" ht="17.25" customHeight="1" x14ac:dyDescent="0.25">
      <c r="B1" s="116"/>
      <c r="C1" s="117"/>
      <c r="D1" s="117"/>
    </row>
    <row r="2" spans="2:30" ht="15" x14ac:dyDescent="0.25">
      <c r="B2" s="36" t="s">
        <v>97</v>
      </c>
      <c r="C2" s="115" t="s">
        <v>91</v>
      </c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</row>
    <row r="3" spans="2:30" x14ac:dyDescent="0.2">
      <c r="B3" s="26"/>
      <c r="C3" s="109"/>
      <c r="D3" s="11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2:30" x14ac:dyDescent="0.2">
      <c r="B4" s="27" t="s">
        <v>3</v>
      </c>
      <c r="C4" s="72">
        <v>0.1</v>
      </c>
      <c r="D4" s="52" t="s">
        <v>80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</row>
    <row r="5" spans="2:30" x14ac:dyDescent="0.2">
      <c r="B5" s="27" t="s">
        <v>82</v>
      </c>
      <c r="C5" s="73">
        <v>3</v>
      </c>
      <c r="D5" s="118" t="s">
        <v>46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3"/>
    </row>
    <row r="6" spans="2:30" x14ac:dyDescent="0.2">
      <c r="B6" s="27" t="s">
        <v>84</v>
      </c>
      <c r="C6" s="73">
        <v>3</v>
      </c>
      <c r="D6" s="11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/>
    </row>
    <row r="7" spans="2:30" x14ac:dyDescent="0.2">
      <c r="B7" s="27" t="s">
        <v>40</v>
      </c>
      <c r="C7" s="74">
        <v>110</v>
      </c>
      <c r="D7" s="11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</row>
    <row r="8" spans="2:30" x14ac:dyDescent="0.2">
      <c r="B8" s="27" t="s">
        <v>41</v>
      </c>
      <c r="C8" s="74">
        <v>180</v>
      </c>
      <c r="D8" s="11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</row>
    <row r="9" spans="2:30" x14ac:dyDescent="0.2">
      <c r="B9" s="27" t="s">
        <v>90</v>
      </c>
      <c r="C9" s="75">
        <v>0.05</v>
      </c>
      <c r="D9" s="11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</row>
    <row r="10" spans="2:30" x14ac:dyDescent="0.2">
      <c r="B10" s="27" t="s">
        <v>89</v>
      </c>
      <c r="C10" s="75">
        <v>0.05</v>
      </c>
      <c r="D10" s="111"/>
      <c r="E10" s="52"/>
      <c r="F10" s="52"/>
      <c r="G10" s="52"/>
      <c r="H10" s="11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</row>
    <row r="11" spans="2:30" x14ac:dyDescent="0.2">
      <c r="B11" s="28"/>
      <c r="C11" s="113"/>
      <c r="D11" s="114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0"/>
    </row>
    <row r="12" spans="2:30" x14ac:dyDescent="0.2">
      <c r="B12" s="29"/>
      <c r="C12" s="16"/>
      <c r="D12" s="17"/>
    </row>
    <row r="13" spans="2:30" ht="15" x14ac:dyDescent="0.25">
      <c r="B13" s="36" t="s">
        <v>94</v>
      </c>
      <c r="C13" s="23"/>
      <c r="D13" s="23"/>
      <c r="E13" s="24">
        <f>Start_year</f>
        <v>2023</v>
      </c>
      <c r="F13" s="24">
        <f>E13+1</f>
        <v>2024</v>
      </c>
      <c r="G13" s="24">
        <f t="shared" ref="G13:AC13" si="0">F13+1</f>
        <v>2025</v>
      </c>
      <c r="H13" s="24">
        <f t="shared" si="0"/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 t="shared" si="0"/>
        <v>2030</v>
      </c>
      <c r="M13" s="24">
        <f t="shared" si="0"/>
        <v>2031</v>
      </c>
      <c r="N13" s="24">
        <f t="shared" si="0"/>
        <v>2032</v>
      </c>
      <c r="O13" s="24">
        <f t="shared" si="0"/>
        <v>2033</v>
      </c>
      <c r="P13" s="24">
        <f t="shared" si="0"/>
        <v>2034</v>
      </c>
      <c r="Q13" s="24">
        <f t="shared" si="0"/>
        <v>2035</v>
      </c>
      <c r="R13" s="24">
        <f t="shared" si="0"/>
        <v>2036</v>
      </c>
      <c r="S13" s="24">
        <f t="shared" si="0"/>
        <v>2037</v>
      </c>
      <c r="T13" s="24">
        <f t="shared" si="0"/>
        <v>2038</v>
      </c>
      <c r="U13" s="24">
        <f t="shared" si="0"/>
        <v>2039</v>
      </c>
      <c r="V13" s="24">
        <f t="shared" si="0"/>
        <v>2040</v>
      </c>
      <c r="W13" s="24">
        <f t="shared" si="0"/>
        <v>2041</v>
      </c>
      <c r="X13" s="24">
        <f t="shared" si="0"/>
        <v>2042</v>
      </c>
      <c r="Y13" s="24">
        <f t="shared" si="0"/>
        <v>2043</v>
      </c>
      <c r="Z13" s="24">
        <f t="shared" si="0"/>
        <v>2044</v>
      </c>
      <c r="AA13" s="24">
        <f t="shared" si="0"/>
        <v>2045</v>
      </c>
      <c r="AB13" s="24">
        <f t="shared" si="0"/>
        <v>2046</v>
      </c>
      <c r="AC13" s="24">
        <f t="shared" si="0"/>
        <v>2047</v>
      </c>
      <c r="AD13" s="22"/>
    </row>
    <row r="14" spans="2:30" x14ac:dyDescent="0.2">
      <c r="B14" s="30"/>
      <c r="C14" s="8"/>
      <c r="D14" s="9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55"/>
    </row>
    <row r="15" spans="2:30" x14ac:dyDescent="0.2">
      <c r="B15" s="27" t="s">
        <v>51</v>
      </c>
      <c r="C15" s="2"/>
      <c r="D15" s="1"/>
      <c r="E15" s="76">
        <f>Market_1_Size</f>
        <v>110</v>
      </c>
      <c r="F15" s="77">
        <f t="shared" ref="F15:AC15" si="1">E15*(1+Mkt_1_Growth)</f>
        <v>115.5</v>
      </c>
      <c r="G15" s="77">
        <f t="shared" si="1"/>
        <v>121.27500000000001</v>
      </c>
      <c r="H15" s="77">
        <f t="shared" si="1"/>
        <v>127.33875</v>
      </c>
      <c r="I15" s="77">
        <f t="shared" si="1"/>
        <v>133.70568750000001</v>
      </c>
      <c r="J15" s="77">
        <f t="shared" si="1"/>
        <v>140.39097187500002</v>
      </c>
      <c r="K15" s="77">
        <f t="shared" si="1"/>
        <v>147.41052046875004</v>
      </c>
      <c r="L15" s="77">
        <f t="shared" si="1"/>
        <v>154.78104649218756</v>
      </c>
      <c r="M15" s="77">
        <f t="shared" si="1"/>
        <v>162.52009881679695</v>
      </c>
      <c r="N15" s="77">
        <f t="shared" si="1"/>
        <v>170.64610375763681</v>
      </c>
      <c r="O15" s="77">
        <f t="shared" si="1"/>
        <v>179.17840894551867</v>
      </c>
      <c r="P15" s="77">
        <f t="shared" si="1"/>
        <v>188.13732939279461</v>
      </c>
      <c r="Q15" s="77">
        <f t="shared" si="1"/>
        <v>197.54419586243435</v>
      </c>
      <c r="R15" s="77">
        <f t="shared" si="1"/>
        <v>207.42140565555607</v>
      </c>
      <c r="S15" s="77">
        <f t="shared" si="1"/>
        <v>217.79247593833389</v>
      </c>
      <c r="T15" s="77">
        <f t="shared" si="1"/>
        <v>228.6820997352506</v>
      </c>
      <c r="U15" s="77">
        <f t="shared" si="1"/>
        <v>240.11620472201315</v>
      </c>
      <c r="V15" s="77">
        <f t="shared" si="1"/>
        <v>252.12201495811382</v>
      </c>
      <c r="W15" s="77">
        <f t="shared" si="1"/>
        <v>264.72811570601954</v>
      </c>
      <c r="X15" s="77">
        <f t="shared" si="1"/>
        <v>277.96452149132051</v>
      </c>
      <c r="Y15" s="77">
        <f t="shared" si="1"/>
        <v>291.86274756588654</v>
      </c>
      <c r="Z15" s="77">
        <f t="shared" si="1"/>
        <v>306.45588494418087</v>
      </c>
      <c r="AA15" s="77">
        <f t="shared" si="1"/>
        <v>321.77867919138993</v>
      </c>
      <c r="AB15" s="77">
        <f t="shared" si="1"/>
        <v>337.86761315095941</v>
      </c>
      <c r="AC15" s="78">
        <f t="shared" si="1"/>
        <v>354.76099380850741</v>
      </c>
      <c r="AD15" s="53"/>
    </row>
    <row r="16" spans="2:30" x14ac:dyDescent="0.2">
      <c r="B16" s="27" t="s">
        <v>59</v>
      </c>
      <c r="C16" s="2"/>
      <c r="D16" s="1"/>
      <c r="E16" s="79">
        <f>Market_2_Size</f>
        <v>180</v>
      </c>
      <c r="F16" s="80">
        <f t="shared" ref="F16:AC16" si="2">E16*(1+Mkt_2_Growth)</f>
        <v>189</v>
      </c>
      <c r="G16" s="80">
        <f t="shared" si="2"/>
        <v>198.45000000000002</v>
      </c>
      <c r="H16" s="80">
        <f t="shared" si="2"/>
        <v>208.37250000000003</v>
      </c>
      <c r="I16" s="80">
        <f t="shared" si="2"/>
        <v>218.79112500000005</v>
      </c>
      <c r="J16" s="80">
        <f t="shared" si="2"/>
        <v>229.73068125000006</v>
      </c>
      <c r="K16" s="80">
        <f t="shared" si="2"/>
        <v>241.21721531250009</v>
      </c>
      <c r="L16" s="80">
        <f t="shared" si="2"/>
        <v>253.27807607812511</v>
      </c>
      <c r="M16" s="80">
        <f t="shared" si="2"/>
        <v>265.94197988203138</v>
      </c>
      <c r="N16" s="80">
        <f t="shared" si="2"/>
        <v>279.23907887613296</v>
      </c>
      <c r="O16" s="80">
        <f t="shared" si="2"/>
        <v>293.2010328199396</v>
      </c>
      <c r="P16" s="80">
        <f t="shared" si="2"/>
        <v>307.86108446093658</v>
      </c>
      <c r="Q16" s="80">
        <f t="shared" si="2"/>
        <v>323.2541386839834</v>
      </c>
      <c r="R16" s="80">
        <f t="shared" si="2"/>
        <v>339.41684561818261</v>
      </c>
      <c r="S16" s="80">
        <f t="shared" si="2"/>
        <v>356.38768789909176</v>
      </c>
      <c r="T16" s="80">
        <f t="shared" si="2"/>
        <v>374.20707229404638</v>
      </c>
      <c r="U16" s="80">
        <f t="shared" si="2"/>
        <v>392.91742590874873</v>
      </c>
      <c r="V16" s="80">
        <f t="shared" si="2"/>
        <v>412.5632972041862</v>
      </c>
      <c r="W16" s="80">
        <f t="shared" si="2"/>
        <v>433.19146206439552</v>
      </c>
      <c r="X16" s="80">
        <f t="shared" si="2"/>
        <v>454.85103516761529</v>
      </c>
      <c r="Y16" s="80">
        <f t="shared" si="2"/>
        <v>477.59358692599608</v>
      </c>
      <c r="Z16" s="80">
        <f t="shared" si="2"/>
        <v>501.47326627229592</v>
      </c>
      <c r="AA16" s="80">
        <f t="shared" si="2"/>
        <v>526.54692958591079</v>
      </c>
      <c r="AB16" s="80">
        <f t="shared" si="2"/>
        <v>552.87427606520635</v>
      </c>
      <c r="AC16" s="81">
        <f t="shared" si="2"/>
        <v>580.51798986846666</v>
      </c>
      <c r="AD16" s="53"/>
    </row>
    <row r="17" spans="2:30" x14ac:dyDescent="0.2">
      <c r="B17" s="31"/>
      <c r="C17" s="2"/>
      <c r="D17" s="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53"/>
    </row>
    <row r="18" spans="2:30" x14ac:dyDescent="0.2">
      <c r="B18" s="27" t="s">
        <v>85</v>
      </c>
      <c r="C18" s="1"/>
      <c r="D18" s="1"/>
      <c r="E18" s="83">
        <v>0.04</v>
      </c>
      <c r="F18" s="84">
        <v>0.05</v>
      </c>
      <c r="G18" s="84">
        <v>0.05</v>
      </c>
      <c r="H18" s="84">
        <v>0.05</v>
      </c>
      <c r="I18" s="84">
        <v>0.04</v>
      </c>
      <c r="J18" s="84">
        <v>0.04</v>
      </c>
      <c r="K18" s="84">
        <v>0.03</v>
      </c>
      <c r="L18" s="84">
        <v>0.03</v>
      </c>
      <c r="M18" s="84">
        <v>0.03</v>
      </c>
      <c r="N18" s="84">
        <v>0.03</v>
      </c>
      <c r="O18" s="84">
        <v>0.02</v>
      </c>
      <c r="P18" s="84">
        <v>0.02</v>
      </c>
      <c r="Q18" s="84">
        <v>0.02</v>
      </c>
      <c r="R18" s="84">
        <v>0.02</v>
      </c>
      <c r="S18" s="84">
        <v>0.02</v>
      </c>
      <c r="T18" s="84">
        <v>0.02</v>
      </c>
      <c r="U18" s="84">
        <v>0.02</v>
      </c>
      <c r="V18" s="84">
        <v>0.02</v>
      </c>
      <c r="W18" s="84">
        <v>0.02</v>
      </c>
      <c r="X18" s="84">
        <v>0.02</v>
      </c>
      <c r="Y18" s="84">
        <v>0.02</v>
      </c>
      <c r="Z18" s="84">
        <v>0.02</v>
      </c>
      <c r="AA18" s="84">
        <v>0.02</v>
      </c>
      <c r="AB18" s="84">
        <v>0.02</v>
      </c>
      <c r="AC18" s="85">
        <v>0.02</v>
      </c>
      <c r="AD18" s="53"/>
    </row>
    <row r="19" spans="2:30" x14ac:dyDescent="0.2">
      <c r="B19" s="27" t="s">
        <v>86</v>
      </c>
      <c r="C19" s="1"/>
      <c r="D19" s="1"/>
      <c r="E19" s="86">
        <v>0.04</v>
      </c>
      <c r="F19" s="87">
        <v>0.05</v>
      </c>
      <c r="G19" s="87">
        <v>0.05</v>
      </c>
      <c r="H19" s="87">
        <v>0.05</v>
      </c>
      <c r="I19" s="87">
        <v>0.04</v>
      </c>
      <c r="J19" s="87">
        <v>0.04</v>
      </c>
      <c r="K19" s="87">
        <v>0.03</v>
      </c>
      <c r="L19" s="87">
        <v>0.03</v>
      </c>
      <c r="M19" s="87">
        <v>0.03</v>
      </c>
      <c r="N19" s="87">
        <v>0.03</v>
      </c>
      <c r="O19" s="87">
        <v>0.02</v>
      </c>
      <c r="P19" s="87">
        <v>0.02</v>
      </c>
      <c r="Q19" s="87">
        <v>0.02</v>
      </c>
      <c r="R19" s="87">
        <v>0.02</v>
      </c>
      <c r="S19" s="87">
        <v>0.02</v>
      </c>
      <c r="T19" s="87">
        <v>0.02</v>
      </c>
      <c r="U19" s="87">
        <v>0.02</v>
      </c>
      <c r="V19" s="87">
        <v>0.02</v>
      </c>
      <c r="W19" s="87">
        <v>0.02</v>
      </c>
      <c r="X19" s="87">
        <v>0.02</v>
      </c>
      <c r="Y19" s="87">
        <v>0.02</v>
      </c>
      <c r="Z19" s="87">
        <v>0.02</v>
      </c>
      <c r="AA19" s="87">
        <v>0.02</v>
      </c>
      <c r="AB19" s="87">
        <v>0.02</v>
      </c>
      <c r="AC19" s="88">
        <v>0.02</v>
      </c>
      <c r="AD19" s="53"/>
    </row>
    <row r="20" spans="2:30" x14ac:dyDescent="0.2">
      <c r="B20" s="28"/>
      <c r="C20" s="6"/>
      <c r="D20" s="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100"/>
    </row>
    <row r="21" spans="2:30" x14ac:dyDescent="0.2">
      <c r="B21" s="29"/>
      <c r="C21" s="16"/>
    </row>
    <row r="22" spans="2:30" ht="15" x14ac:dyDescent="0.25">
      <c r="B22" s="36" t="s">
        <v>92</v>
      </c>
      <c r="C22" s="23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2"/>
    </row>
    <row r="23" spans="2:30" x14ac:dyDescent="0.2">
      <c r="B23" s="30"/>
      <c r="C23" s="106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</row>
    <row r="24" spans="2:30" x14ac:dyDescent="0.2">
      <c r="B24" s="27" t="s">
        <v>72</v>
      </c>
      <c r="C24" s="89">
        <v>0.02</v>
      </c>
      <c r="D24" s="52" t="s">
        <v>79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</row>
    <row r="25" spans="2:30" x14ac:dyDescent="0.2">
      <c r="B25" s="27" t="s">
        <v>73</v>
      </c>
      <c r="C25" s="89">
        <v>0.02</v>
      </c>
      <c r="D25" s="52" t="s">
        <v>79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2:30" x14ac:dyDescent="0.2">
      <c r="B26" s="27" t="s">
        <v>75</v>
      </c>
      <c r="C26" s="89">
        <v>0.04</v>
      </c>
      <c r="D26" s="52" t="s">
        <v>79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</row>
    <row r="27" spans="2:30" x14ac:dyDescent="0.2">
      <c r="B27" s="27" t="s">
        <v>76</v>
      </c>
      <c r="C27" s="89">
        <v>0.03</v>
      </c>
      <c r="D27" s="52" t="s">
        <v>79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</row>
    <row r="28" spans="2:30" x14ac:dyDescent="0.2">
      <c r="B28" s="2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3"/>
    </row>
    <row r="29" spans="2:30" x14ac:dyDescent="0.2">
      <c r="B29" s="27" t="s">
        <v>4</v>
      </c>
      <c r="C29" s="90">
        <v>2023</v>
      </c>
      <c r="D29" s="52" t="s">
        <v>26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3"/>
    </row>
    <row r="30" spans="2:30" x14ac:dyDescent="0.2">
      <c r="B30" s="27" t="s">
        <v>24</v>
      </c>
      <c r="C30" s="90">
        <v>0.55000000000000004</v>
      </c>
      <c r="D30" s="52" t="s">
        <v>27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</row>
    <row r="31" spans="2:30" x14ac:dyDescent="0.2">
      <c r="B31" s="27" t="s">
        <v>25</v>
      </c>
      <c r="C31" s="90">
        <v>0</v>
      </c>
      <c r="D31" s="52" t="s">
        <v>28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</row>
    <row r="32" spans="2:30" x14ac:dyDescent="0.2">
      <c r="B32" s="27" t="s">
        <v>9</v>
      </c>
      <c r="C32" s="91">
        <v>1</v>
      </c>
      <c r="D32" s="52" t="s">
        <v>79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</row>
    <row r="33" spans="2:30" x14ac:dyDescent="0.2">
      <c r="B33" s="27" t="s">
        <v>7</v>
      </c>
      <c r="C33" s="91">
        <v>500</v>
      </c>
      <c r="D33" s="52" t="s">
        <v>79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</row>
    <row r="34" spans="2:30" x14ac:dyDescent="0.2">
      <c r="B34" s="28"/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100"/>
    </row>
    <row r="35" spans="2:30" x14ac:dyDescent="0.2">
      <c r="B35" s="29"/>
    </row>
    <row r="36" spans="2:30" ht="15" x14ac:dyDescent="0.25">
      <c r="B36" s="36" t="s">
        <v>0</v>
      </c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2"/>
    </row>
    <row r="37" spans="2:30" x14ac:dyDescent="0.2">
      <c r="B37" s="32"/>
      <c r="C37" s="101"/>
      <c r="D37" s="101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/>
    </row>
    <row r="38" spans="2:30" x14ac:dyDescent="0.2">
      <c r="B38" s="33" t="s">
        <v>1</v>
      </c>
      <c r="C38" s="92">
        <f>-DCF!$C$7</f>
        <v>-10.272727272727273</v>
      </c>
      <c r="D38" s="52" t="s">
        <v>39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</row>
    <row r="39" spans="2:30" x14ac:dyDescent="0.2">
      <c r="B39" s="27"/>
      <c r="C39" s="93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</row>
    <row r="40" spans="2:30" x14ac:dyDescent="0.2">
      <c r="B40" s="33" t="s">
        <v>2</v>
      </c>
      <c r="C40" s="94">
        <f>IF(Include_Market_2,C70,C69)</f>
        <v>110.17057836104911</v>
      </c>
      <c r="D40" s="52" t="s">
        <v>39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3"/>
    </row>
    <row r="41" spans="2:30" x14ac:dyDescent="0.2">
      <c r="B41" s="27"/>
      <c r="C41" s="10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3"/>
    </row>
    <row r="42" spans="2:30" x14ac:dyDescent="0.2">
      <c r="B42" s="33" t="s">
        <v>83</v>
      </c>
      <c r="C42" s="102"/>
      <c r="D42" s="52"/>
      <c r="E42" s="103">
        <f>-DCF!D6+IF(Proceed,IF(Include_Market_2,DCF!D53,DCF!D39),0)</f>
        <v>-11.3</v>
      </c>
      <c r="F42" s="103">
        <f>-DCF!E6+IF(Proceed,IF(Include_Market_2,DCF!E53,DCF!E39),0)</f>
        <v>0</v>
      </c>
      <c r="G42" s="103">
        <f>-DCF!F6+IF(Proceed,IF(Include_Market_2,DCF!F53,DCF!F39),0)</f>
        <v>0</v>
      </c>
      <c r="H42" s="103">
        <f>-DCF!G6+IF(Proceed,IF(Include_Market_2,DCF!G53,DCF!G39),0)</f>
        <v>0</v>
      </c>
      <c r="I42" s="103">
        <f>-DCF!H6+IF(Proceed,IF(Include_Market_2,DCF!H53,DCF!H39),0)</f>
        <v>0</v>
      </c>
      <c r="J42" s="103">
        <f>-DCF!I6+IF(Proceed,IF(Include_Market_2,DCF!I53,DCF!I39),0)</f>
        <v>0</v>
      </c>
      <c r="K42" s="103">
        <f>-DCF!J6+IF(Proceed,IF(Include_Market_2,DCF!J53,DCF!J39),0)</f>
        <v>0</v>
      </c>
      <c r="L42" s="103">
        <f>-DCF!K6+IF(Proceed,IF(Include_Market_2,DCF!K53,DCF!K39),0)</f>
        <v>0</v>
      </c>
      <c r="M42" s="103">
        <f>-DCF!L6+IF(Proceed,IF(Include_Market_2,DCF!L53,DCF!L39),0)</f>
        <v>0</v>
      </c>
      <c r="N42" s="103">
        <f>-DCF!M6+IF(Proceed,IF(Include_Market_2,DCF!M53,DCF!M39),0)</f>
        <v>0</v>
      </c>
      <c r="O42" s="103">
        <f>-DCF!N6+IF(Proceed,IF(Include_Market_2,DCF!N53,DCF!N39),0)</f>
        <v>0</v>
      </c>
      <c r="P42" s="103">
        <f>-DCF!O6+IF(Proceed,IF(Include_Market_2,DCF!O53,DCF!O39),0)</f>
        <v>0</v>
      </c>
      <c r="Q42" s="103">
        <f>-DCF!P6+IF(Proceed,IF(Include_Market_2,DCF!P53,DCF!P39),0)</f>
        <v>0</v>
      </c>
      <c r="R42" s="103">
        <f>-DCF!Q6+IF(Proceed,IF(Include_Market_2,DCF!Q53,DCF!Q39),0)</f>
        <v>0</v>
      </c>
      <c r="S42" s="103">
        <f>-DCF!R6+IF(Proceed,IF(Include_Market_2,DCF!R53,DCF!R39),0)</f>
        <v>0</v>
      </c>
      <c r="T42" s="103">
        <f>-DCF!S6+IF(Proceed,IF(Include_Market_2,DCF!S53,DCF!S39),0)</f>
        <v>0</v>
      </c>
      <c r="U42" s="103">
        <f>-DCF!T6+IF(Proceed,IF(Include_Market_2,DCF!T53,DCF!T39),0)</f>
        <v>0</v>
      </c>
      <c r="V42" s="103">
        <f>-DCF!U6+IF(Proceed,IF(Include_Market_2,DCF!U53,DCF!U39),0)</f>
        <v>0</v>
      </c>
      <c r="W42" s="103">
        <f>-DCF!V6+IF(Proceed,IF(Include_Market_2,DCF!V53,DCF!V39),0)</f>
        <v>0</v>
      </c>
      <c r="X42" s="103">
        <f>-DCF!W6+IF(Proceed,IF(Include_Market_2,DCF!W53,DCF!W39),0)</f>
        <v>0</v>
      </c>
      <c r="Y42" s="103">
        <f>-DCF!X6+IF(Proceed,IF(Include_Market_2,DCF!X53,DCF!X39),0)</f>
        <v>0</v>
      </c>
      <c r="Z42" s="103">
        <f>-DCF!Y6+IF(Proceed,IF(Include_Market_2,DCF!Y53,DCF!Y39),0)</f>
        <v>0</v>
      </c>
      <c r="AA42" s="103">
        <f>-DCF!Z6+IF(Proceed,IF(Include_Market_2,DCF!Z53,DCF!Z39),0)</f>
        <v>0</v>
      </c>
      <c r="AB42" s="103">
        <f>-DCF!AA6+IF(Proceed,IF(Include_Market_2,DCF!AA53,DCF!AA39),0)</f>
        <v>0</v>
      </c>
      <c r="AC42" s="103">
        <f>-DCF!AB6+IF(Proceed,IF(Include_Market_2,DCF!AB53,DCF!AB39),0)</f>
        <v>0</v>
      </c>
      <c r="AD42" s="53"/>
    </row>
    <row r="43" spans="2:30" x14ac:dyDescent="0.2">
      <c r="B43" s="34"/>
      <c r="C43" s="104"/>
      <c r="D43" s="99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0"/>
    </row>
    <row r="44" spans="2:30" x14ac:dyDescent="0.2">
      <c r="B44" s="29"/>
    </row>
    <row r="45" spans="2:30" ht="15" x14ac:dyDescent="0.25">
      <c r="B45" s="36" t="s">
        <v>95</v>
      </c>
      <c r="C45" s="23"/>
      <c r="D45" s="23" t="s">
        <v>21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5"/>
    </row>
    <row r="46" spans="2:30" x14ac:dyDescent="0.2">
      <c r="B46" s="3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</row>
    <row r="47" spans="2:30" x14ac:dyDescent="0.2">
      <c r="B47" s="33" t="s">
        <v>35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3"/>
    </row>
    <row r="48" spans="2:30" x14ac:dyDescent="0.2">
      <c r="B48" s="27" t="s">
        <v>13</v>
      </c>
      <c r="C48" s="95">
        <v>10</v>
      </c>
      <c r="D48" s="52" t="s">
        <v>15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3"/>
    </row>
    <row r="49" spans="2:30" x14ac:dyDescent="0.2">
      <c r="B49" s="27" t="s">
        <v>14</v>
      </c>
      <c r="C49" s="95">
        <v>2500</v>
      </c>
      <c r="D49" s="52" t="s">
        <v>34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3"/>
    </row>
    <row r="50" spans="2:30" x14ac:dyDescent="0.2">
      <c r="B50" s="27"/>
      <c r="C50" s="93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3"/>
    </row>
    <row r="51" spans="2:30" x14ac:dyDescent="0.2">
      <c r="B51" s="33" t="s">
        <v>36</v>
      </c>
      <c r="C51" s="93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3"/>
    </row>
    <row r="52" spans="2:30" x14ac:dyDescent="0.2">
      <c r="B52" s="27" t="s">
        <v>6</v>
      </c>
      <c r="C52" s="95">
        <v>630</v>
      </c>
      <c r="D52" s="52" t="s">
        <v>22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</row>
    <row r="53" spans="2:30" x14ac:dyDescent="0.2">
      <c r="B53" s="27" t="s">
        <v>8</v>
      </c>
      <c r="C53" s="95">
        <v>0</v>
      </c>
      <c r="D53" s="52" t="s">
        <v>93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3"/>
    </row>
    <row r="54" spans="2:30" x14ac:dyDescent="0.2">
      <c r="B54" s="27"/>
      <c r="C54" s="93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3"/>
    </row>
    <row r="55" spans="2:30" x14ac:dyDescent="0.2">
      <c r="B55" s="33" t="s">
        <v>5</v>
      </c>
      <c r="C55" s="93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3"/>
    </row>
    <row r="56" spans="2:30" x14ac:dyDescent="0.2">
      <c r="B56" s="27" t="s">
        <v>16</v>
      </c>
      <c r="C56" s="96">
        <v>35</v>
      </c>
      <c r="D56" s="52" t="s">
        <v>23</v>
      </c>
      <c r="E56" s="52"/>
      <c r="F56" s="98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3"/>
    </row>
    <row r="57" spans="2:30" x14ac:dyDescent="0.2">
      <c r="B57" s="27" t="s">
        <v>17</v>
      </c>
      <c r="C57" s="96">
        <v>5000</v>
      </c>
      <c r="D57" s="52" t="s">
        <v>29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3"/>
    </row>
    <row r="58" spans="2:30" x14ac:dyDescent="0.2">
      <c r="B58" s="27" t="s">
        <v>19</v>
      </c>
      <c r="C58" s="96">
        <v>1000</v>
      </c>
      <c r="D58" s="52" t="s">
        <v>30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</row>
    <row r="59" spans="2:30" x14ac:dyDescent="0.2">
      <c r="B59" s="27" t="s">
        <v>20</v>
      </c>
      <c r="C59" s="96">
        <v>1</v>
      </c>
      <c r="D59" s="52" t="s">
        <v>74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</row>
    <row r="60" spans="2:30" x14ac:dyDescent="0.2">
      <c r="B60" s="27" t="s">
        <v>18</v>
      </c>
      <c r="C60" s="96">
        <v>20</v>
      </c>
      <c r="D60" s="52" t="s">
        <v>81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3"/>
    </row>
    <row r="61" spans="2:30" x14ac:dyDescent="0.2">
      <c r="B61" s="27" t="s">
        <v>10</v>
      </c>
      <c r="C61" s="97" t="s">
        <v>96</v>
      </c>
      <c r="D61" s="52" t="s">
        <v>37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3"/>
    </row>
    <row r="62" spans="2:30" x14ac:dyDescent="0.2">
      <c r="B62" s="27" t="s">
        <v>11</v>
      </c>
      <c r="C62" s="97" t="s">
        <v>96</v>
      </c>
      <c r="D62" s="52" t="s">
        <v>37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</row>
    <row r="63" spans="2:30" x14ac:dyDescent="0.2">
      <c r="B63" s="27" t="s">
        <v>12</v>
      </c>
      <c r="C63" s="97" t="s">
        <v>96</v>
      </c>
      <c r="D63" s="52" t="s">
        <v>38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3"/>
    </row>
    <row r="64" spans="2:30" x14ac:dyDescent="0.2">
      <c r="B64" s="2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0"/>
    </row>
    <row r="65" spans="2:30" x14ac:dyDescent="0.2">
      <c r="B65" s="29"/>
    </row>
    <row r="66" spans="2:30" ht="15" x14ac:dyDescent="0.25">
      <c r="B66" s="36" t="s">
        <v>31</v>
      </c>
      <c r="C66" s="23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0"/>
    </row>
    <row r="67" spans="2:30" x14ac:dyDescent="0.2">
      <c r="B67" s="2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3"/>
    </row>
    <row r="68" spans="2:30" x14ac:dyDescent="0.2">
      <c r="B68" s="27" t="s">
        <v>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3"/>
    </row>
    <row r="69" spans="2:30" x14ac:dyDescent="0.2">
      <c r="B69" s="27" t="s">
        <v>32</v>
      </c>
      <c r="C69" s="94">
        <f>DCF!C40</f>
        <v>122.64078698378933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3"/>
    </row>
    <row r="70" spans="2:30" ht="15" customHeight="1" x14ac:dyDescent="0.2">
      <c r="B70" s="27" t="s">
        <v>33</v>
      </c>
      <c r="C70" s="94">
        <f>DCF!C54</f>
        <v>110.17057836104911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3"/>
    </row>
    <row r="71" spans="2:30" x14ac:dyDescent="0.2">
      <c r="B71" s="2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7"/>
    </row>
    <row r="72" spans="2:30" ht="18" customHeight="1" x14ac:dyDescent="0.2"/>
  </sheetData>
  <mergeCells count="2">
    <mergeCell ref="B1:D1"/>
    <mergeCell ref="D5:D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showGridLines="0" zoomScaleNormal="100" workbookViewId="0"/>
  </sheetViews>
  <sheetFormatPr defaultColWidth="0" defaultRowHeight="12.75" zeroHeight="1" x14ac:dyDescent="0.2"/>
  <cols>
    <col min="1" max="1" width="2.7109375" style="15" customWidth="1"/>
    <col min="2" max="2" width="49" style="15" customWidth="1"/>
    <col min="3" max="3" width="8.28515625" style="15" customWidth="1"/>
    <col min="4" max="4" width="8.140625" style="15" customWidth="1"/>
    <col min="5" max="18" width="6.7109375" style="15" customWidth="1"/>
    <col min="19" max="19" width="6.85546875" style="15" customWidth="1"/>
    <col min="20" max="20" width="7.42578125" style="15" customWidth="1"/>
    <col min="21" max="21" width="6.7109375" style="15" customWidth="1"/>
    <col min="22" max="22" width="7" style="15" customWidth="1"/>
    <col min="23" max="25" width="7.42578125" style="15" customWidth="1"/>
    <col min="26" max="27" width="7" style="15" customWidth="1"/>
    <col min="28" max="28" width="7.28515625" style="15" customWidth="1"/>
    <col min="29" max="29" width="3.5703125" style="15" customWidth="1"/>
    <col min="30" max="16384" width="9.140625" style="15" hidden="1"/>
  </cols>
  <sheetData>
    <row r="1" spans="2:28" ht="14.25" customHeight="1" x14ac:dyDescent="0.25">
      <c r="B1" s="37"/>
    </row>
    <row r="2" spans="2:28" ht="13.5" customHeight="1" x14ac:dyDescent="0.2">
      <c r="B2" s="40"/>
      <c r="C2" s="41">
        <f>D2-1</f>
        <v>2022</v>
      </c>
      <c r="D2" s="41">
        <f>Start_year</f>
        <v>2023</v>
      </c>
      <c r="E2" s="41">
        <f>D2+1</f>
        <v>2024</v>
      </c>
      <c r="F2" s="41">
        <f t="shared" ref="F2:AB2" si="0">E2+1</f>
        <v>2025</v>
      </c>
      <c r="G2" s="41">
        <f t="shared" si="0"/>
        <v>2026</v>
      </c>
      <c r="H2" s="41">
        <f t="shared" si="0"/>
        <v>2027</v>
      </c>
      <c r="I2" s="41">
        <f t="shared" si="0"/>
        <v>2028</v>
      </c>
      <c r="J2" s="41">
        <f t="shared" si="0"/>
        <v>2029</v>
      </c>
      <c r="K2" s="41">
        <f t="shared" si="0"/>
        <v>2030</v>
      </c>
      <c r="L2" s="41">
        <f t="shared" si="0"/>
        <v>2031</v>
      </c>
      <c r="M2" s="41">
        <f t="shared" si="0"/>
        <v>2032</v>
      </c>
      <c r="N2" s="41">
        <f t="shared" si="0"/>
        <v>2033</v>
      </c>
      <c r="O2" s="41">
        <f t="shared" si="0"/>
        <v>2034</v>
      </c>
      <c r="P2" s="41">
        <f t="shared" si="0"/>
        <v>2035</v>
      </c>
      <c r="Q2" s="41">
        <f t="shared" si="0"/>
        <v>2036</v>
      </c>
      <c r="R2" s="41">
        <f t="shared" si="0"/>
        <v>2037</v>
      </c>
      <c r="S2" s="41">
        <f t="shared" si="0"/>
        <v>2038</v>
      </c>
      <c r="T2" s="41">
        <f t="shared" si="0"/>
        <v>2039</v>
      </c>
      <c r="U2" s="41">
        <f t="shared" si="0"/>
        <v>2040</v>
      </c>
      <c r="V2" s="41">
        <f t="shared" si="0"/>
        <v>2041</v>
      </c>
      <c r="W2" s="41">
        <f t="shared" si="0"/>
        <v>2042</v>
      </c>
      <c r="X2" s="41">
        <f t="shared" si="0"/>
        <v>2043</v>
      </c>
      <c r="Y2" s="41">
        <f t="shared" si="0"/>
        <v>2044</v>
      </c>
      <c r="Z2" s="41">
        <f t="shared" si="0"/>
        <v>2045</v>
      </c>
      <c r="AA2" s="41">
        <f t="shared" si="0"/>
        <v>2046</v>
      </c>
      <c r="AB2" s="42">
        <f t="shared" si="0"/>
        <v>2047</v>
      </c>
    </row>
    <row r="3" spans="2:28" x14ac:dyDescent="0.2"/>
    <row r="4" spans="2:28" ht="15" x14ac:dyDescent="0.25">
      <c r="B4" s="51" t="s">
        <v>42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</row>
    <row r="5" spans="2:28" x14ac:dyDescent="0.2">
      <c r="B5" s="47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</row>
    <row r="6" spans="2:28" x14ac:dyDescent="0.2">
      <c r="B6" s="48" t="s">
        <v>44</v>
      </c>
      <c r="C6" s="56">
        <f t="shared" ref="C6:AB6" si="1">IF(C2=Start_year,0.01*(Initial_Marketing_Spend+Initial_Upstream_Investment)*Upfront_Cost_Escalation,0)</f>
        <v>0</v>
      </c>
      <c r="D6" s="56">
        <f t="shared" si="1"/>
        <v>11.3</v>
      </c>
      <c r="E6" s="56">
        <f t="shared" si="1"/>
        <v>0</v>
      </c>
      <c r="F6" s="56">
        <f t="shared" si="1"/>
        <v>0</v>
      </c>
      <c r="G6" s="56">
        <f t="shared" si="1"/>
        <v>0</v>
      </c>
      <c r="H6" s="56">
        <f t="shared" si="1"/>
        <v>0</v>
      </c>
      <c r="I6" s="56">
        <f t="shared" si="1"/>
        <v>0</v>
      </c>
      <c r="J6" s="56">
        <f t="shared" si="1"/>
        <v>0</v>
      </c>
      <c r="K6" s="56">
        <f t="shared" si="1"/>
        <v>0</v>
      </c>
      <c r="L6" s="56">
        <f t="shared" si="1"/>
        <v>0</v>
      </c>
      <c r="M6" s="56">
        <f t="shared" si="1"/>
        <v>0</v>
      </c>
      <c r="N6" s="56">
        <f t="shared" si="1"/>
        <v>0</v>
      </c>
      <c r="O6" s="56">
        <f t="shared" si="1"/>
        <v>0</v>
      </c>
      <c r="P6" s="56">
        <f t="shared" si="1"/>
        <v>0</v>
      </c>
      <c r="Q6" s="56">
        <f t="shared" si="1"/>
        <v>0</v>
      </c>
      <c r="R6" s="56">
        <f t="shared" si="1"/>
        <v>0</v>
      </c>
      <c r="S6" s="56">
        <f t="shared" si="1"/>
        <v>0</v>
      </c>
      <c r="T6" s="56">
        <f t="shared" si="1"/>
        <v>0</v>
      </c>
      <c r="U6" s="56">
        <f t="shared" si="1"/>
        <v>0</v>
      </c>
      <c r="V6" s="56">
        <f t="shared" si="1"/>
        <v>0</v>
      </c>
      <c r="W6" s="56">
        <f t="shared" si="1"/>
        <v>0</v>
      </c>
      <c r="X6" s="56">
        <f t="shared" si="1"/>
        <v>0</v>
      </c>
      <c r="Y6" s="56">
        <f t="shared" si="1"/>
        <v>0</v>
      </c>
      <c r="Z6" s="56">
        <f t="shared" si="1"/>
        <v>0</v>
      </c>
      <c r="AA6" s="56">
        <f t="shared" si="1"/>
        <v>0</v>
      </c>
      <c r="AB6" s="57">
        <f t="shared" si="1"/>
        <v>0</v>
      </c>
    </row>
    <row r="7" spans="2:28" x14ac:dyDescent="0.2">
      <c r="B7" s="49" t="s">
        <v>45</v>
      </c>
      <c r="C7" s="58">
        <f>NPV(Discount_Rate,DCF!D6:R6)</f>
        <v>10.272727272727273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2:28" x14ac:dyDescent="0.2">
      <c r="B8" s="48" t="s">
        <v>48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2:28" x14ac:dyDescent="0.2">
      <c r="B9" s="46" t="s">
        <v>53</v>
      </c>
      <c r="C9" s="52"/>
      <c r="D9" s="52">
        <f>Market_1_Size</f>
        <v>110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</row>
    <row r="10" spans="2:28" x14ac:dyDescent="0.2">
      <c r="B10" s="4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</row>
    <row r="11" spans="2:28" x14ac:dyDescent="0.2">
      <c r="B11" s="50" t="s">
        <v>71</v>
      </c>
      <c r="C11" s="59">
        <v>1</v>
      </c>
      <c r="D11" s="59">
        <v>2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>
        <v>16</v>
      </c>
      <c r="S11" s="59">
        <v>17</v>
      </c>
      <c r="T11" s="59">
        <v>18</v>
      </c>
      <c r="U11" s="59">
        <v>19</v>
      </c>
      <c r="V11" s="59">
        <v>20</v>
      </c>
      <c r="W11" s="59">
        <v>21</v>
      </c>
      <c r="X11" s="59">
        <v>22</v>
      </c>
      <c r="Y11" s="59">
        <v>23</v>
      </c>
      <c r="Z11" s="59">
        <v>24</v>
      </c>
      <c r="AA11" s="59">
        <v>25</v>
      </c>
      <c r="AB11" s="60">
        <v>26</v>
      </c>
    </row>
    <row r="12" spans="2:28" x14ac:dyDescent="0.2">
      <c r="B12" s="46" t="s">
        <v>50</v>
      </c>
      <c r="C12" s="61">
        <v>1</v>
      </c>
      <c r="D12" s="52">
        <f>D9</f>
        <v>110</v>
      </c>
      <c r="E12" s="62">
        <f>D12</f>
        <v>110</v>
      </c>
      <c r="F12" s="62">
        <f t="shared" ref="F12:R12" si="2">E12</f>
        <v>110</v>
      </c>
      <c r="G12" s="62">
        <f t="shared" si="2"/>
        <v>110</v>
      </c>
      <c r="H12" s="62">
        <f t="shared" si="2"/>
        <v>110</v>
      </c>
      <c r="I12" s="62">
        <f t="shared" si="2"/>
        <v>110</v>
      </c>
      <c r="J12" s="62">
        <f t="shared" si="2"/>
        <v>110</v>
      </c>
      <c r="K12" s="62">
        <f t="shared" si="2"/>
        <v>110</v>
      </c>
      <c r="L12" s="62">
        <f t="shared" si="2"/>
        <v>110</v>
      </c>
      <c r="M12" s="62">
        <f t="shared" si="2"/>
        <v>110</v>
      </c>
      <c r="N12" s="62">
        <f t="shared" si="2"/>
        <v>110</v>
      </c>
      <c r="O12" s="62">
        <f t="shared" si="2"/>
        <v>110</v>
      </c>
      <c r="P12" s="62">
        <f t="shared" si="2"/>
        <v>110</v>
      </c>
      <c r="Q12" s="62">
        <f t="shared" si="2"/>
        <v>110</v>
      </c>
      <c r="R12" s="62">
        <f t="shared" si="2"/>
        <v>110</v>
      </c>
      <c r="S12" s="62">
        <f t="shared" ref="S12:AB12" si="3">R12</f>
        <v>110</v>
      </c>
      <c r="T12" s="62">
        <f t="shared" si="3"/>
        <v>110</v>
      </c>
      <c r="U12" s="62">
        <f t="shared" si="3"/>
        <v>110</v>
      </c>
      <c r="V12" s="62">
        <f t="shared" si="3"/>
        <v>110</v>
      </c>
      <c r="W12" s="62">
        <f t="shared" si="3"/>
        <v>110</v>
      </c>
      <c r="X12" s="62">
        <f t="shared" si="3"/>
        <v>110</v>
      </c>
      <c r="Y12" s="62">
        <f t="shared" si="3"/>
        <v>110</v>
      </c>
      <c r="Z12" s="62">
        <f t="shared" si="3"/>
        <v>110</v>
      </c>
      <c r="AA12" s="62">
        <f t="shared" si="3"/>
        <v>110</v>
      </c>
      <c r="AB12" s="63">
        <f t="shared" si="3"/>
        <v>110</v>
      </c>
    </row>
    <row r="13" spans="2:28" x14ac:dyDescent="0.2">
      <c r="B13" s="46" t="s">
        <v>51</v>
      </c>
      <c r="C13" s="61">
        <v>2</v>
      </c>
      <c r="D13" s="62">
        <f>Assumptions!E15</f>
        <v>110</v>
      </c>
      <c r="E13" s="62">
        <f>Assumptions!F15</f>
        <v>115.5</v>
      </c>
      <c r="F13" s="62">
        <f>Assumptions!G15</f>
        <v>121.27500000000001</v>
      </c>
      <c r="G13" s="62">
        <f>Assumptions!H15</f>
        <v>127.33875</v>
      </c>
      <c r="H13" s="62">
        <f>Assumptions!I15</f>
        <v>133.70568750000001</v>
      </c>
      <c r="I13" s="62">
        <f>Assumptions!J15</f>
        <v>140.39097187500002</v>
      </c>
      <c r="J13" s="62">
        <f>Assumptions!K15</f>
        <v>147.41052046875004</v>
      </c>
      <c r="K13" s="62">
        <f>Assumptions!L15</f>
        <v>154.78104649218756</v>
      </c>
      <c r="L13" s="62">
        <f>Assumptions!M15</f>
        <v>162.52009881679695</v>
      </c>
      <c r="M13" s="62">
        <f>Assumptions!N15</f>
        <v>170.64610375763681</v>
      </c>
      <c r="N13" s="62">
        <f>Assumptions!O15</f>
        <v>179.17840894551867</v>
      </c>
      <c r="O13" s="62">
        <f>Assumptions!P15</f>
        <v>188.13732939279461</v>
      </c>
      <c r="P13" s="62">
        <f>Assumptions!Q15</f>
        <v>197.54419586243435</v>
      </c>
      <c r="Q13" s="62">
        <f>Assumptions!R15</f>
        <v>207.42140565555607</v>
      </c>
      <c r="R13" s="62">
        <f>Assumptions!S15</f>
        <v>217.79247593833389</v>
      </c>
      <c r="S13" s="62">
        <f>Assumptions!T15</f>
        <v>228.6820997352506</v>
      </c>
      <c r="T13" s="62">
        <f>Assumptions!U15</f>
        <v>240.11620472201315</v>
      </c>
      <c r="U13" s="62">
        <f>Assumptions!V15</f>
        <v>252.12201495811382</v>
      </c>
      <c r="V13" s="62">
        <f>Assumptions!W15</f>
        <v>264.72811570601954</v>
      </c>
      <c r="W13" s="62">
        <f>Assumptions!X15</f>
        <v>277.96452149132051</v>
      </c>
      <c r="X13" s="62">
        <f>Assumptions!Y15</f>
        <v>291.86274756588654</v>
      </c>
      <c r="Y13" s="62">
        <f>Assumptions!Z15</f>
        <v>306.45588494418087</v>
      </c>
      <c r="Z13" s="62">
        <f>Assumptions!AA15</f>
        <v>321.77867919138993</v>
      </c>
      <c r="AA13" s="62">
        <f>Assumptions!AB15</f>
        <v>337.86761315095941</v>
      </c>
      <c r="AB13" s="63">
        <f>Assumptions!AC15</f>
        <v>354.76099380850741</v>
      </c>
    </row>
    <row r="14" spans="2:28" x14ac:dyDescent="0.2">
      <c r="B14" s="46" t="s">
        <v>52</v>
      </c>
      <c r="C14" s="61">
        <v>3</v>
      </c>
      <c r="D14" s="62">
        <f>D9</f>
        <v>110</v>
      </c>
      <c r="E14" s="62">
        <f>D14*(1+Assumptions!F18)</f>
        <v>115.5</v>
      </c>
      <c r="F14" s="62">
        <f>E14*(1+Assumptions!G18)</f>
        <v>121.27500000000001</v>
      </c>
      <c r="G14" s="62">
        <f>F14*(1+Assumptions!H18)</f>
        <v>127.33875</v>
      </c>
      <c r="H14" s="62">
        <f>G14*(1+Assumptions!I18)</f>
        <v>132.4323</v>
      </c>
      <c r="I14" s="62">
        <f>H14*(1+Assumptions!J18)</f>
        <v>137.729592</v>
      </c>
      <c r="J14" s="62">
        <f>I14*(1+Assumptions!K18)</f>
        <v>141.86147976000001</v>
      </c>
      <c r="K14" s="62">
        <f>J14*(1+Assumptions!L18)</f>
        <v>146.11732415280002</v>
      </c>
      <c r="L14" s="62">
        <f>K14*(1+Assumptions!M18)</f>
        <v>150.50084387738403</v>
      </c>
      <c r="M14" s="62">
        <f>L14*(1+Assumptions!N18)</f>
        <v>155.01586919370556</v>
      </c>
      <c r="N14" s="62">
        <f>M14*(1+Assumptions!O18)</f>
        <v>158.11618657757967</v>
      </c>
      <c r="O14" s="62">
        <f>N14*(1+Assumptions!P18)</f>
        <v>161.27851030913126</v>
      </c>
      <c r="P14" s="62">
        <f>O14*(1+Assumptions!Q18)</f>
        <v>164.50408051531389</v>
      </c>
      <c r="Q14" s="62">
        <f>P14*(1+Assumptions!R18)</f>
        <v>167.79416212562018</v>
      </c>
      <c r="R14" s="62">
        <f>Q14*(1+Assumptions!S18)</f>
        <v>171.1500453681326</v>
      </c>
      <c r="S14" s="62">
        <f>R14*(1+Assumptions!T18)</f>
        <v>174.57304627549524</v>
      </c>
      <c r="T14" s="62">
        <f>S14*(1+Assumptions!U18)</f>
        <v>178.06450720100514</v>
      </c>
      <c r="U14" s="62">
        <f>T14*(1+Assumptions!V18)</f>
        <v>181.62579734502526</v>
      </c>
      <c r="V14" s="62">
        <f>U14*(1+Assumptions!W18)</f>
        <v>185.25831329192576</v>
      </c>
      <c r="W14" s="62">
        <f>V14*(1+Assumptions!X18)</f>
        <v>188.96347955776429</v>
      </c>
      <c r="X14" s="62">
        <f>W14*(1+Assumptions!Y18)</f>
        <v>192.74274914891959</v>
      </c>
      <c r="Y14" s="62">
        <f>X14*(1+Assumptions!Z18)</f>
        <v>196.59760413189798</v>
      </c>
      <c r="Z14" s="62">
        <f>Y14*(1+Assumptions!AA18)</f>
        <v>200.52955621453594</v>
      </c>
      <c r="AA14" s="62">
        <f>Z14*(1+Assumptions!AB18)</f>
        <v>204.54014733882667</v>
      </c>
      <c r="AB14" s="63">
        <f>AA14*(1+Assumptions!AC18)</f>
        <v>208.63095028560321</v>
      </c>
    </row>
    <row r="15" spans="2:28" x14ac:dyDescent="0.2">
      <c r="B15" s="46" t="s">
        <v>87</v>
      </c>
      <c r="C15" s="61">
        <v>4</v>
      </c>
      <c r="D15" s="62">
        <f>D9</f>
        <v>110</v>
      </c>
      <c r="E15" s="52">
        <f t="array" ref="E15:AB15">TREND('Market Trend Data'!C4:H4,'Market Trend Data'!C2:H2,DCF!E2:AB2)</f>
        <v>112.19999999999982</v>
      </c>
      <c r="F15" s="52">
        <v>115.39999999999964</v>
      </c>
      <c r="G15" s="52">
        <v>118.60000000000036</v>
      </c>
      <c r="H15" s="52">
        <v>121.80000000000018</v>
      </c>
      <c r="I15" s="52">
        <v>125</v>
      </c>
      <c r="J15" s="52">
        <v>128.19999999999982</v>
      </c>
      <c r="K15" s="52">
        <v>131.39999999999964</v>
      </c>
      <c r="L15" s="52">
        <v>134.60000000000036</v>
      </c>
      <c r="M15" s="52">
        <v>137.80000000000018</v>
      </c>
      <c r="N15" s="52">
        <v>141</v>
      </c>
      <c r="O15" s="52">
        <v>144.19999999999982</v>
      </c>
      <c r="P15" s="52">
        <v>147.39999999999964</v>
      </c>
      <c r="Q15" s="52">
        <v>150.60000000000036</v>
      </c>
      <c r="R15" s="52">
        <v>153.80000000000018</v>
      </c>
      <c r="S15" s="52">
        <v>157</v>
      </c>
      <c r="T15" s="52">
        <v>160.19999999999982</v>
      </c>
      <c r="U15" s="52">
        <v>163.39999999999964</v>
      </c>
      <c r="V15" s="52">
        <v>166.60000000000036</v>
      </c>
      <c r="W15" s="52">
        <v>169.80000000000018</v>
      </c>
      <c r="X15" s="52">
        <v>173</v>
      </c>
      <c r="Y15" s="52">
        <v>176.19999999999982</v>
      </c>
      <c r="Z15" s="52">
        <v>179.39999999999964</v>
      </c>
      <c r="AA15" s="52">
        <v>182.60000000000036</v>
      </c>
      <c r="AB15" s="53">
        <v>185.80000000000018</v>
      </c>
    </row>
    <row r="16" spans="2:28" x14ac:dyDescent="0.2">
      <c r="B16" s="48" t="s">
        <v>54</v>
      </c>
      <c r="C16" s="61"/>
      <c r="D16" s="64">
        <f t="shared" ref="D16:AB16" si="4">VLOOKUP(Mkt_1_Model,$C$12:$AB$15,D11,FALSE)</f>
        <v>110</v>
      </c>
      <c r="E16" s="64">
        <f t="shared" si="4"/>
        <v>115.5</v>
      </c>
      <c r="F16" s="64">
        <f t="shared" si="4"/>
        <v>121.27500000000001</v>
      </c>
      <c r="G16" s="64">
        <f t="shared" si="4"/>
        <v>127.33875</v>
      </c>
      <c r="H16" s="64">
        <f t="shared" si="4"/>
        <v>132.4323</v>
      </c>
      <c r="I16" s="64">
        <f t="shared" si="4"/>
        <v>137.729592</v>
      </c>
      <c r="J16" s="64">
        <f t="shared" si="4"/>
        <v>141.86147976000001</v>
      </c>
      <c r="K16" s="64">
        <f t="shared" si="4"/>
        <v>146.11732415280002</v>
      </c>
      <c r="L16" s="64">
        <f t="shared" si="4"/>
        <v>150.50084387738403</v>
      </c>
      <c r="M16" s="64">
        <f t="shared" si="4"/>
        <v>155.01586919370556</v>
      </c>
      <c r="N16" s="64">
        <f t="shared" si="4"/>
        <v>158.11618657757967</v>
      </c>
      <c r="O16" s="64">
        <f t="shared" si="4"/>
        <v>161.27851030913126</v>
      </c>
      <c r="P16" s="64">
        <f t="shared" si="4"/>
        <v>164.50408051531389</v>
      </c>
      <c r="Q16" s="64">
        <f t="shared" si="4"/>
        <v>167.79416212562018</v>
      </c>
      <c r="R16" s="64">
        <f t="shared" si="4"/>
        <v>171.1500453681326</v>
      </c>
      <c r="S16" s="64">
        <f t="shared" si="4"/>
        <v>174.57304627549524</v>
      </c>
      <c r="T16" s="64">
        <f t="shared" si="4"/>
        <v>178.06450720100514</v>
      </c>
      <c r="U16" s="64">
        <f t="shared" si="4"/>
        <v>181.62579734502526</v>
      </c>
      <c r="V16" s="64">
        <f t="shared" si="4"/>
        <v>185.25831329192576</v>
      </c>
      <c r="W16" s="64">
        <f t="shared" si="4"/>
        <v>188.96347955776429</v>
      </c>
      <c r="X16" s="64">
        <f t="shared" si="4"/>
        <v>192.74274914891959</v>
      </c>
      <c r="Y16" s="64">
        <f t="shared" si="4"/>
        <v>196.59760413189798</v>
      </c>
      <c r="Z16" s="64">
        <f t="shared" si="4"/>
        <v>200.52955621453594</v>
      </c>
      <c r="AA16" s="64">
        <f t="shared" si="4"/>
        <v>204.54014733882667</v>
      </c>
      <c r="AB16" s="65">
        <f t="shared" si="4"/>
        <v>208.63095028560321</v>
      </c>
    </row>
    <row r="17" spans="2:28" x14ac:dyDescent="0.2">
      <c r="B17" s="46"/>
      <c r="C17" s="52"/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52"/>
      <c r="T17" s="52"/>
      <c r="U17" s="52"/>
      <c r="V17" s="52"/>
      <c r="W17" s="52"/>
      <c r="X17" s="52"/>
      <c r="Y17" s="52"/>
      <c r="Z17" s="52"/>
      <c r="AA17" s="52"/>
      <c r="AB17" s="53"/>
    </row>
    <row r="18" spans="2:28" x14ac:dyDescent="0.2">
      <c r="B18" s="48" t="s">
        <v>49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</row>
    <row r="19" spans="2:28" x14ac:dyDescent="0.2">
      <c r="B19" s="46" t="s">
        <v>53</v>
      </c>
      <c r="C19" s="52"/>
      <c r="D19" s="52">
        <f>Market_2_Size</f>
        <v>180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</row>
    <row r="20" spans="2:28" x14ac:dyDescent="0.2">
      <c r="B20" s="46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2:28" x14ac:dyDescent="0.2">
      <c r="B21" s="50" t="s">
        <v>71</v>
      </c>
      <c r="C21" s="59">
        <v>1</v>
      </c>
      <c r="D21" s="59">
        <v>2</v>
      </c>
      <c r="E21" s="59">
        <v>3</v>
      </c>
      <c r="F21" s="59">
        <v>4</v>
      </c>
      <c r="G21" s="59">
        <v>5</v>
      </c>
      <c r="H21" s="59">
        <v>6</v>
      </c>
      <c r="I21" s="59">
        <v>7</v>
      </c>
      <c r="J21" s="59">
        <v>8</v>
      </c>
      <c r="K21" s="59">
        <v>9</v>
      </c>
      <c r="L21" s="59">
        <v>10</v>
      </c>
      <c r="M21" s="59">
        <v>11</v>
      </c>
      <c r="N21" s="59">
        <v>12</v>
      </c>
      <c r="O21" s="59">
        <v>13</v>
      </c>
      <c r="P21" s="59">
        <v>14</v>
      </c>
      <c r="Q21" s="59">
        <v>15</v>
      </c>
      <c r="R21" s="59">
        <v>16</v>
      </c>
      <c r="S21" s="59">
        <v>17</v>
      </c>
      <c r="T21" s="59">
        <v>18</v>
      </c>
      <c r="U21" s="59">
        <v>19</v>
      </c>
      <c r="V21" s="59">
        <v>20</v>
      </c>
      <c r="W21" s="59">
        <v>21</v>
      </c>
      <c r="X21" s="59">
        <v>22</v>
      </c>
      <c r="Y21" s="59">
        <v>23</v>
      </c>
      <c r="Z21" s="59">
        <v>24</v>
      </c>
      <c r="AA21" s="59">
        <v>25</v>
      </c>
      <c r="AB21" s="60">
        <v>26</v>
      </c>
    </row>
    <row r="22" spans="2:28" x14ac:dyDescent="0.2">
      <c r="B22" s="46" t="s">
        <v>58</v>
      </c>
      <c r="C22" s="61">
        <v>1</v>
      </c>
      <c r="D22" s="62">
        <f>D19</f>
        <v>180</v>
      </c>
      <c r="E22" s="62">
        <f>D22</f>
        <v>180</v>
      </c>
      <c r="F22" s="62">
        <f t="shared" ref="F22:AB22" si="5">E22</f>
        <v>180</v>
      </c>
      <c r="G22" s="62">
        <f t="shared" si="5"/>
        <v>180</v>
      </c>
      <c r="H22" s="62">
        <f t="shared" si="5"/>
        <v>180</v>
      </c>
      <c r="I22" s="62">
        <f t="shared" si="5"/>
        <v>180</v>
      </c>
      <c r="J22" s="62">
        <f t="shared" si="5"/>
        <v>180</v>
      </c>
      <c r="K22" s="62">
        <f t="shared" si="5"/>
        <v>180</v>
      </c>
      <c r="L22" s="62">
        <f t="shared" si="5"/>
        <v>180</v>
      </c>
      <c r="M22" s="62">
        <f t="shared" si="5"/>
        <v>180</v>
      </c>
      <c r="N22" s="62">
        <f t="shared" si="5"/>
        <v>180</v>
      </c>
      <c r="O22" s="62">
        <f t="shared" si="5"/>
        <v>180</v>
      </c>
      <c r="P22" s="62">
        <f t="shared" si="5"/>
        <v>180</v>
      </c>
      <c r="Q22" s="62">
        <f t="shared" si="5"/>
        <v>180</v>
      </c>
      <c r="R22" s="62">
        <f t="shared" si="5"/>
        <v>180</v>
      </c>
      <c r="S22" s="62">
        <f t="shared" si="5"/>
        <v>180</v>
      </c>
      <c r="T22" s="62">
        <f t="shared" si="5"/>
        <v>180</v>
      </c>
      <c r="U22" s="62">
        <f t="shared" si="5"/>
        <v>180</v>
      </c>
      <c r="V22" s="62">
        <f t="shared" si="5"/>
        <v>180</v>
      </c>
      <c r="W22" s="62">
        <f t="shared" si="5"/>
        <v>180</v>
      </c>
      <c r="X22" s="62">
        <f t="shared" si="5"/>
        <v>180</v>
      </c>
      <c r="Y22" s="62">
        <f t="shared" si="5"/>
        <v>180</v>
      </c>
      <c r="Z22" s="62">
        <f t="shared" si="5"/>
        <v>180</v>
      </c>
      <c r="AA22" s="62">
        <f t="shared" si="5"/>
        <v>180</v>
      </c>
      <c r="AB22" s="63">
        <f t="shared" si="5"/>
        <v>180</v>
      </c>
    </row>
    <row r="23" spans="2:28" x14ac:dyDescent="0.2">
      <c r="B23" s="46" t="s">
        <v>59</v>
      </c>
      <c r="C23" s="61">
        <v>2</v>
      </c>
      <c r="D23" s="62">
        <f>Assumptions!E16</f>
        <v>180</v>
      </c>
      <c r="E23" s="62">
        <f>Assumptions!F16</f>
        <v>189</v>
      </c>
      <c r="F23" s="62">
        <f>Assumptions!G16</f>
        <v>198.45000000000002</v>
      </c>
      <c r="G23" s="62">
        <f>Assumptions!H16</f>
        <v>208.37250000000003</v>
      </c>
      <c r="H23" s="62">
        <f>Assumptions!I16</f>
        <v>218.79112500000005</v>
      </c>
      <c r="I23" s="62">
        <f>Assumptions!J16</f>
        <v>229.73068125000006</v>
      </c>
      <c r="J23" s="62">
        <f>Assumptions!K16</f>
        <v>241.21721531250009</v>
      </c>
      <c r="K23" s="62">
        <f>Assumptions!L16</f>
        <v>253.27807607812511</v>
      </c>
      <c r="L23" s="62">
        <f>Assumptions!M16</f>
        <v>265.94197988203138</v>
      </c>
      <c r="M23" s="62">
        <f>Assumptions!N16</f>
        <v>279.23907887613296</v>
      </c>
      <c r="N23" s="62">
        <f>Assumptions!O16</f>
        <v>293.2010328199396</v>
      </c>
      <c r="O23" s="62">
        <f>Assumptions!P16</f>
        <v>307.86108446093658</v>
      </c>
      <c r="P23" s="62">
        <f>Assumptions!Q16</f>
        <v>323.2541386839834</v>
      </c>
      <c r="Q23" s="62">
        <f>Assumptions!R16</f>
        <v>339.41684561818261</v>
      </c>
      <c r="R23" s="62">
        <f>Assumptions!S16</f>
        <v>356.38768789909176</v>
      </c>
      <c r="S23" s="62">
        <f>Assumptions!T16</f>
        <v>374.20707229404638</v>
      </c>
      <c r="T23" s="62">
        <f>Assumptions!U16</f>
        <v>392.91742590874873</v>
      </c>
      <c r="U23" s="62">
        <f>Assumptions!V16</f>
        <v>412.5632972041862</v>
      </c>
      <c r="V23" s="62">
        <f>Assumptions!W16</f>
        <v>433.19146206439552</v>
      </c>
      <c r="W23" s="62">
        <f>Assumptions!X16</f>
        <v>454.85103516761529</v>
      </c>
      <c r="X23" s="62">
        <f>Assumptions!Y16</f>
        <v>477.59358692599608</v>
      </c>
      <c r="Y23" s="62">
        <f>Assumptions!Z16</f>
        <v>501.47326627229592</v>
      </c>
      <c r="Z23" s="62">
        <f>Assumptions!AA16</f>
        <v>526.54692958591079</v>
      </c>
      <c r="AA23" s="62">
        <f>Assumptions!AB16</f>
        <v>552.87427606520635</v>
      </c>
      <c r="AB23" s="63">
        <f>Assumptions!AC16</f>
        <v>580.51798986846666</v>
      </c>
    </row>
    <row r="24" spans="2:28" x14ac:dyDescent="0.2">
      <c r="B24" s="46" t="s">
        <v>60</v>
      </c>
      <c r="C24" s="61">
        <v>3</v>
      </c>
      <c r="D24" s="62">
        <f>D19</f>
        <v>180</v>
      </c>
      <c r="E24" s="62">
        <f>D24*(1+Assumptions!F19)</f>
        <v>189</v>
      </c>
      <c r="F24" s="62">
        <f>E24*(1+Assumptions!G19)</f>
        <v>198.45000000000002</v>
      </c>
      <c r="G24" s="62">
        <f>F24*(1+Assumptions!H19)</f>
        <v>208.37250000000003</v>
      </c>
      <c r="H24" s="62">
        <f>G24*(1+Assumptions!I19)</f>
        <v>216.70740000000004</v>
      </c>
      <c r="I24" s="62">
        <f>H24*(1+Assumptions!J19)</f>
        <v>225.37569600000003</v>
      </c>
      <c r="J24" s="62">
        <f>I24*(1+Assumptions!K19)</f>
        <v>232.13696688000005</v>
      </c>
      <c r="K24" s="62">
        <f>J24*(1+Assumptions!L19)</f>
        <v>239.10107588640005</v>
      </c>
      <c r="L24" s="62">
        <f>K24*(1+Assumptions!M19)</f>
        <v>246.27410816299206</v>
      </c>
      <c r="M24" s="62">
        <f>L24*(1+Assumptions!N19)</f>
        <v>253.66233140788182</v>
      </c>
      <c r="N24" s="62">
        <f>M24*(1+Assumptions!O19)</f>
        <v>258.73557803603944</v>
      </c>
      <c r="O24" s="62">
        <f>N24*(1+Assumptions!P19)</f>
        <v>263.91028959676021</v>
      </c>
      <c r="P24" s="62">
        <f>O24*(1+Assumptions!Q19)</f>
        <v>269.1884953886954</v>
      </c>
      <c r="Q24" s="62">
        <f>P24*(1+Assumptions!R19)</f>
        <v>274.57226529646931</v>
      </c>
      <c r="R24" s="62">
        <f>Q24*(1+Assumptions!S19)</f>
        <v>280.06371060239871</v>
      </c>
      <c r="S24" s="62">
        <f>R24*(1+Assumptions!T19)</f>
        <v>285.66498481444671</v>
      </c>
      <c r="T24" s="62">
        <f>S24*(1+Assumptions!U19)</f>
        <v>291.37828451073563</v>
      </c>
      <c r="U24" s="62">
        <f>T24*(1+Assumptions!V19)</f>
        <v>297.20585020095035</v>
      </c>
      <c r="V24" s="62">
        <f>U24*(1+Assumptions!W19)</f>
        <v>303.14996720496936</v>
      </c>
      <c r="W24" s="62">
        <f>V24*(1+Assumptions!X19)</f>
        <v>309.21296654906877</v>
      </c>
      <c r="X24" s="62">
        <f>W24*(1+Assumptions!Y19)</f>
        <v>315.39722588005014</v>
      </c>
      <c r="Y24" s="62">
        <f>X24*(1+Assumptions!Z19)</f>
        <v>321.70517039765116</v>
      </c>
      <c r="Z24" s="62">
        <f>Y24*(1+Assumptions!AA19)</f>
        <v>328.1392738056042</v>
      </c>
      <c r="AA24" s="62">
        <f>Z24*(1+Assumptions!AB19)</f>
        <v>334.70205928171629</v>
      </c>
      <c r="AB24" s="63">
        <f>AA24*(1+Assumptions!AC19)</f>
        <v>341.39610046735061</v>
      </c>
    </row>
    <row r="25" spans="2:28" x14ac:dyDescent="0.2">
      <c r="B25" s="46" t="s">
        <v>88</v>
      </c>
      <c r="C25" s="61">
        <v>4</v>
      </c>
      <c r="D25" s="62">
        <f>D19</f>
        <v>180</v>
      </c>
      <c r="E25" s="66">
        <f t="array" ref="E25:AB25">TREND('Market Trend Data'!C6:H6,'Market Trend Data'!C2:H2,DCF!E2:AB2)</f>
        <v>182.80000000000018</v>
      </c>
      <c r="F25" s="66">
        <v>186.45714285714257</v>
      </c>
      <c r="G25" s="66">
        <v>190.11428571428587</v>
      </c>
      <c r="H25" s="66">
        <v>193.77142857142826</v>
      </c>
      <c r="I25" s="66">
        <v>197.42857142857156</v>
      </c>
      <c r="J25" s="66">
        <v>201.08571428571395</v>
      </c>
      <c r="K25" s="66">
        <v>204.74285714285725</v>
      </c>
      <c r="L25" s="66">
        <v>208.39999999999964</v>
      </c>
      <c r="M25" s="66">
        <v>212.05714285714294</v>
      </c>
      <c r="N25" s="66">
        <v>215.71428571428532</v>
      </c>
      <c r="O25" s="66">
        <v>219.37142857142862</v>
      </c>
      <c r="P25" s="66">
        <v>223.02857142857101</v>
      </c>
      <c r="Q25" s="66">
        <v>226.68571428571431</v>
      </c>
      <c r="R25" s="66">
        <v>230.3428571428567</v>
      </c>
      <c r="S25" s="66">
        <v>234</v>
      </c>
      <c r="T25" s="66">
        <v>237.65714285714239</v>
      </c>
      <c r="U25" s="66">
        <v>241.31428571428569</v>
      </c>
      <c r="V25" s="66">
        <v>244.97142857142808</v>
      </c>
      <c r="W25" s="66">
        <v>248.62857142857138</v>
      </c>
      <c r="X25" s="52">
        <v>252.28571428571377</v>
      </c>
      <c r="Y25" s="52">
        <v>255.94285714285706</v>
      </c>
      <c r="Z25" s="52">
        <v>259.59999999999945</v>
      </c>
      <c r="AA25" s="52">
        <v>263.25714285714275</v>
      </c>
      <c r="AB25" s="53">
        <v>266.91428571428514</v>
      </c>
    </row>
    <row r="26" spans="2:28" x14ac:dyDescent="0.2">
      <c r="B26" s="48" t="s">
        <v>55</v>
      </c>
      <c r="C26" s="61"/>
      <c r="D26" s="64">
        <f t="shared" ref="D26:AB26" si="6">VLOOKUP(Mkt_2_Model,$C$22:$AB$25,D21,FALSE)</f>
        <v>180</v>
      </c>
      <c r="E26" s="64">
        <f t="shared" si="6"/>
        <v>189</v>
      </c>
      <c r="F26" s="64">
        <f t="shared" si="6"/>
        <v>198.45000000000002</v>
      </c>
      <c r="G26" s="64">
        <f t="shared" si="6"/>
        <v>208.37250000000003</v>
      </c>
      <c r="H26" s="64">
        <f t="shared" si="6"/>
        <v>216.70740000000004</v>
      </c>
      <c r="I26" s="64">
        <f t="shared" si="6"/>
        <v>225.37569600000003</v>
      </c>
      <c r="J26" s="64">
        <f t="shared" si="6"/>
        <v>232.13696688000005</v>
      </c>
      <c r="K26" s="64">
        <f t="shared" si="6"/>
        <v>239.10107588640005</v>
      </c>
      <c r="L26" s="64">
        <f t="shared" si="6"/>
        <v>246.27410816299206</v>
      </c>
      <c r="M26" s="64">
        <f t="shared" si="6"/>
        <v>253.66233140788182</v>
      </c>
      <c r="N26" s="64">
        <f t="shared" si="6"/>
        <v>258.73557803603944</v>
      </c>
      <c r="O26" s="64">
        <f t="shared" si="6"/>
        <v>263.91028959676021</v>
      </c>
      <c r="P26" s="64">
        <f t="shared" si="6"/>
        <v>269.1884953886954</v>
      </c>
      <c r="Q26" s="64">
        <f t="shared" si="6"/>
        <v>274.57226529646931</v>
      </c>
      <c r="R26" s="64">
        <f t="shared" si="6"/>
        <v>280.06371060239871</v>
      </c>
      <c r="S26" s="64">
        <f t="shared" si="6"/>
        <v>285.66498481444671</v>
      </c>
      <c r="T26" s="64">
        <f t="shared" si="6"/>
        <v>291.37828451073563</v>
      </c>
      <c r="U26" s="64">
        <f t="shared" si="6"/>
        <v>297.20585020095035</v>
      </c>
      <c r="V26" s="64">
        <f t="shared" si="6"/>
        <v>303.14996720496936</v>
      </c>
      <c r="W26" s="64">
        <f t="shared" si="6"/>
        <v>309.21296654906877</v>
      </c>
      <c r="X26" s="64">
        <f t="shared" si="6"/>
        <v>315.39722588005014</v>
      </c>
      <c r="Y26" s="64">
        <f t="shared" si="6"/>
        <v>321.70517039765116</v>
      </c>
      <c r="Z26" s="64">
        <f t="shared" si="6"/>
        <v>328.1392738056042</v>
      </c>
      <c r="AA26" s="64">
        <f t="shared" si="6"/>
        <v>334.70205928171629</v>
      </c>
      <c r="AB26" s="65">
        <f t="shared" si="6"/>
        <v>341.39610046735061</v>
      </c>
    </row>
    <row r="27" spans="2:28" x14ac:dyDescent="0.2">
      <c r="B27" s="48"/>
      <c r="C27" s="61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2:28" x14ac:dyDescent="0.2">
      <c r="B28" s="48" t="s">
        <v>63</v>
      </c>
      <c r="C28" s="6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2:28" x14ac:dyDescent="0.2">
      <c r="B29" s="46" t="s">
        <v>13</v>
      </c>
      <c r="C29" s="61"/>
      <c r="D29" s="62">
        <f>Pipeline_Capacity*12</f>
        <v>120</v>
      </c>
      <c r="E29" s="62">
        <f>D29</f>
        <v>120</v>
      </c>
      <c r="F29" s="62">
        <f t="shared" ref="F29:AB29" si="7">E29</f>
        <v>120</v>
      </c>
      <c r="G29" s="62">
        <f t="shared" si="7"/>
        <v>120</v>
      </c>
      <c r="H29" s="62">
        <f t="shared" si="7"/>
        <v>120</v>
      </c>
      <c r="I29" s="62">
        <f t="shared" si="7"/>
        <v>120</v>
      </c>
      <c r="J29" s="62">
        <f t="shared" si="7"/>
        <v>120</v>
      </c>
      <c r="K29" s="62">
        <f t="shared" si="7"/>
        <v>120</v>
      </c>
      <c r="L29" s="62">
        <f t="shared" si="7"/>
        <v>120</v>
      </c>
      <c r="M29" s="62">
        <f t="shared" si="7"/>
        <v>120</v>
      </c>
      <c r="N29" s="62">
        <f t="shared" si="7"/>
        <v>120</v>
      </c>
      <c r="O29" s="62">
        <f t="shared" si="7"/>
        <v>120</v>
      </c>
      <c r="P29" s="62">
        <f t="shared" si="7"/>
        <v>120</v>
      </c>
      <c r="Q29" s="62">
        <f t="shared" si="7"/>
        <v>120</v>
      </c>
      <c r="R29" s="62">
        <f t="shared" si="7"/>
        <v>120</v>
      </c>
      <c r="S29" s="62">
        <f t="shared" si="7"/>
        <v>120</v>
      </c>
      <c r="T29" s="62">
        <f t="shared" si="7"/>
        <v>120</v>
      </c>
      <c r="U29" s="62">
        <f t="shared" si="7"/>
        <v>120</v>
      </c>
      <c r="V29" s="62">
        <f t="shared" si="7"/>
        <v>120</v>
      </c>
      <c r="W29" s="62">
        <f t="shared" si="7"/>
        <v>120</v>
      </c>
      <c r="X29" s="62">
        <f t="shared" si="7"/>
        <v>120</v>
      </c>
      <c r="Y29" s="62">
        <f t="shared" si="7"/>
        <v>120</v>
      </c>
      <c r="Z29" s="62">
        <f t="shared" si="7"/>
        <v>120</v>
      </c>
      <c r="AA29" s="62">
        <f t="shared" si="7"/>
        <v>120</v>
      </c>
      <c r="AB29" s="63">
        <f t="shared" si="7"/>
        <v>120</v>
      </c>
    </row>
    <row r="30" spans="2:28" x14ac:dyDescent="0.2">
      <c r="B30" s="46" t="s">
        <v>61</v>
      </c>
      <c r="C30" s="61"/>
      <c r="D30" s="64">
        <f>Actual_Reserves</f>
        <v>5000</v>
      </c>
      <c r="E30" s="62">
        <f>D30-D36</f>
        <v>4890</v>
      </c>
      <c r="F30" s="62">
        <f t="shared" ref="F30:W30" si="8">E30-E36</f>
        <v>4774.5</v>
      </c>
      <c r="G30" s="62">
        <f t="shared" si="8"/>
        <v>4654.5</v>
      </c>
      <c r="H30" s="62">
        <f t="shared" si="8"/>
        <v>4534.5</v>
      </c>
      <c r="I30" s="62">
        <f t="shared" si="8"/>
        <v>4414.5</v>
      </c>
      <c r="J30" s="62">
        <f t="shared" si="8"/>
        <v>4294.5</v>
      </c>
      <c r="K30" s="62">
        <f t="shared" si="8"/>
        <v>4174.5</v>
      </c>
      <c r="L30" s="62">
        <f t="shared" si="8"/>
        <v>4054.5</v>
      </c>
      <c r="M30" s="62">
        <f t="shared" si="8"/>
        <v>3934.5</v>
      </c>
      <c r="N30" s="62">
        <f t="shared" si="8"/>
        <v>3814.5</v>
      </c>
      <c r="O30" s="62">
        <f t="shared" si="8"/>
        <v>3694.5</v>
      </c>
      <c r="P30" s="62">
        <f t="shared" si="8"/>
        <v>3574.5</v>
      </c>
      <c r="Q30" s="62">
        <f t="shared" si="8"/>
        <v>3454.5</v>
      </c>
      <c r="R30" s="62">
        <f t="shared" si="8"/>
        <v>3334.5</v>
      </c>
      <c r="S30" s="62">
        <f t="shared" si="8"/>
        <v>3214.5</v>
      </c>
      <c r="T30" s="62">
        <f t="shared" si="8"/>
        <v>3094.5</v>
      </c>
      <c r="U30" s="62">
        <f t="shared" si="8"/>
        <v>2974.5</v>
      </c>
      <c r="V30" s="62">
        <f t="shared" si="8"/>
        <v>2854.5</v>
      </c>
      <c r="W30" s="62">
        <f t="shared" si="8"/>
        <v>2734.5</v>
      </c>
      <c r="X30" s="62">
        <f>W30-W36</f>
        <v>2614.5</v>
      </c>
      <c r="Y30" s="62">
        <f>X30-X36</f>
        <v>2494.5</v>
      </c>
      <c r="Z30" s="62">
        <f>Y30-Y36</f>
        <v>2374.5</v>
      </c>
      <c r="AA30" s="62">
        <f>Z30-Z36</f>
        <v>2254.5</v>
      </c>
      <c r="AB30" s="63">
        <f>AA30-AA36</f>
        <v>2134.5</v>
      </c>
    </row>
    <row r="31" spans="2:28" x14ac:dyDescent="0.2">
      <c r="B31" s="46" t="s">
        <v>62</v>
      </c>
      <c r="C31" s="61"/>
      <c r="D31" s="62">
        <f>D16</f>
        <v>110</v>
      </c>
      <c r="E31" s="62">
        <f t="shared" ref="E31:AB31" si="9">E16</f>
        <v>115.5</v>
      </c>
      <c r="F31" s="62">
        <f t="shared" si="9"/>
        <v>121.27500000000001</v>
      </c>
      <c r="G31" s="62">
        <f t="shared" si="9"/>
        <v>127.33875</v>
      </c>
      <c r="H31" s="62">
        <f t="shared" si="9"/>
        <v>132.4323</v>
      </c>
      <c r="I31" s="62">
        <f t="shared" si="9"/>
        <v>137.729592</v>
      </c>
      <c r="J31" s="62">
        <f t="shared" si="9"/>
        <v>141.86147976000001</v>
      </c>
      <c r="K31" s="62">
        <f t="shared" si="9"/>
        <v>146.11732415280002</v>
      </c>
      <c r="L31" s="62">
        <f t="shared" si="9"/>
        <v>150.50084387738403</v>
      </c>
      <c r="M31" s="62">
        <f t="shared" si="9"/>
        <v>155.01586919370556</v>
      </c>
      <c r="N31" s="62">
        <f t="shared" si="9"/>
        <v>158.11618657757967</v>
      </c>
      <c r="O31" s="62">
        <f t="shared" si="9"/>
        <v>161.27851030913126</v>
      </c>
      <c r="P31" s="62">
        <f t="shared" si="9"/>
        <v>164.50408051531389</v>
      </c>
      <c r="Q31" s="62">
        <f t="shared" si="9"/>
        <v>167.79416212562018</v>
      </c>
      <c r="R31" s="62">
        <f t="shared" si="9"/>
        <v>171.1500453681326</v>
      </c>
      <c r="S31" s="62">
        <f t="shared" si="9"/>
        <v>174.57304627549524</v>
      </c>
      <c r="T31" s="62">
        <f t="shared" si="9"/>
        <v>178.06450720100514</v>
      </c>
      <c r="U31" s="62">
        <f t="shared" si="9"/>
        <v>181.62579734502526</v>
      </c>
      <c r="V31" s="62">
        <f t="shared" si="9"/>
        <v>185.25831329192576</v>
      </c>
      <c r="W31" s="62">
        <f t="shared" si="9"/>
        <v>188.96347955776429</v>
      </c>
      <c r="X31" s="62">
        <f t="shared" si="9"/>
        <v>192.74274914891959</v>
      </c>
      <c r="Y31" s="62">
        <f t="shared" si="9"/>
        <v>196.59760413189798</v>
      </c>
      <c r="Z31" s="62">
        <f t="shared" si="9"/>
        <v>200.52955621453594</v>
      </c>
      <c r="AA31" s="62">
        <f t="shared" si="9"/>
        <v>204.54014733882667</v>
      </c>
      <c r="AB31" s="63">
        <f t="shared" si="9"/>
        <v>208.63095028560321</v>
      </c>
    </row>
    <row r="32" spans="2:28" x14ac:dyDescent="0.2">
      <c r="B32" s="46" t="s">
        <v>65</v>
      </c>
      <c r="C32" s="61"/>
      <c r="D32" s="67">
        <f>MIN(D30/10,D29,D31)</f>
        <v>110</v>
      </c>
      <c r="E32" s="67">
        <f>MIN(E30/10,E29,E31)</f>
        <v>115.5</v>
      </c>
      <c r="F32" s="67">
        <f t="shared" ref="F32:W32" si="10">MIN(F30/10,F29,F31)</f>
        <v>120</v>
      </c>
      <c r="G32" s="67">
        <f t="shared" si="10"/>
        <v>120</v>
      </c>
      <c r="H32" s="67">
        <f t="shared" si="10"/>
        <v>120</v>
      </c>
      <c r="I32" s="67">
        <f t="shared" si="10"/>
        <v>120</v>
      </c>
      <c r="J32" s="67">
        <f t="shared" si="10"/>
        <v>120</v>
      </c>
      <c r="K32" s="67">
        <f t="shared" si="10"/>
        <v>120</v>
      </c>
      <c r="L32" s="67">
        <f t="shared" si="10"/>
        <v>120</v>
      </c>
      <c r="M32" s="67">
        <f t="shared" si="10"/>
        <v>120</v>
      </c>
      <c r="N32" s="67">
        <f t="shared" si="10"/>
        <v>120</v>
      </c>
      <c r="O32" s="67">
        <f t="shared" si="10"/>
        <v>120</v>
      </c>
      <c r="P32" s="67">
        <f t="shared" si="10"/>
        <v>120</v>
      </c>
      <c r="Q32" s="67">
        <f t="shared" si="10"/>
        <v>120</v>
      </c>
      <c r="R32" s="67">
        <f t="shared" si="10"/>
        <v>120</v>
      </c>
      <c r="S32" s="67">
        <f t="shared" si="10"/>
        <v>120</v>
      </c>
      <c r="T32" s="67">
        <f t="shared" si="10"/>
        <v>120</v>
      </c>
      <c r="U32" s="67">
        <f t="shared" si="10"/>
        <v>120</v>
      </c>
      <c r="V32" s="67">
        <f t="shared" si="10"/>
        <v>120</v>
      </c>
      <c r="W32" s="67">
        <f t="shared" si="10"/>
        <v>120</v>
      </c>
      <c r="X32" s="67">
        <f>MIN(X30/10,X29,X31)</f>
        <v>120</v>
      </c>
      <c r="Y32" s="67">
        <f>MIN(Y30/10,Y29,Y31)</f>
        <v>120</v>
      </c>
      <c r="Z32" s="67">
        <f>MIN(Z30/10,Z29,Z31)</f>
        <v>120</v>
      </c>
      <c r="AA32" s="67">
        <f>MIN(AA30/10,AA29,AA31)</f>
        <v>120</v>
      </c>
      <c r="AB32" s="68">
        <f>MIN(AB30/10,AB29,AB31)</f>
        <v>120</v>
      </c>
    </row>
    <row r="33" spans="2:28" x14ac:dyDescent="0.2">
      <c r="B33" s="46" t="s">
        <v>77</v>
      </c>
      <c r="C33" s="61"/>
      <c r="D33" s="69">
        <f>Actual_Price</f>
        <v>35</v>
      </c>
      <c r="E33" s="67">
        <f t="shared" ref="E33:AB33" si="11">D33*(1+Price_Growth_1)</f>
        <v>35.700000000000003</v>
      </c>
      <c r="F33" s="67">
        <f t="shared" si="11"/>
        <v>36.414000000000001</v>
      </c>
      <c r="G33" s="67">
        <f t="shared" si="11"/>
        <v>37.14228</v>
      </c>
      <c r="H33" s="67">
        <f t="shared" si="11"/>
        <v>37.885125600000002</v>
      </c>
      <c r="I33" s="67">
        <f t="shared" si="11"/>
        <v>38.642828112000004</v>
      </c>
      <c r="J33" s="67">
        <f t="shared" si="11"/>
        <v>39.415684674240005</v>
      </c>
      <c r="K33" s="67">
        <f t="shared" si="11"/>
        <v>40.203998367724807</v>
      </c>
      <c r="L33" s="67">
        <f t="shared" si="11"/>
        <v>41.008078335079304</v>
      </c>
      <c r="M33" s="67">
        <f t="shared" si="11"/>
        <v>41.82823990178089</v>
      </c>
      <c r="N33" s="67">
        <f t="shared" si="11"/>
        <v>42.664804699816507</v>
      </c>
      <c r="O33" s="67">
        <f t="shared" si="11"/>
        <v>43.518100793812835</v>
      </c>
      <c r="P33" s="67">
        <f t="shared" si="11"/>
        <v>44.388462809689095</v>
      </c>
      <c r="Q33" s="67">
        <f t="shared" si="11"/>
        <v>45.27623206588288</v>
      </c>
      <c r="R33" s="67">
        <f t="shared" si="11"/>
        <v>46.181756707200542</v>
      </c>
      <c r="S33" s="67">
        <f t="shared" si="11"/>
        <v>47.105391841344556</v>
      </c>
      <c r="T33" s="67">
        <f t="shared" si="11"/>
        <v>48.047499678171448</v>
      </c>
      <c r="U33" s="67">
        <f t="shared" si="11"/>
        <v>49.00844967173488</v>
      </c>
      <c r="V33" s="67">
        <f t="shared" si="11"/>
        <v>49.988618665169575</v>
      </c>
      <c r="W33" s="67">
        <f t="shared" si="11"/>
        <v>50.988391038472969</v>
      </c>
      <c r="X33" s="67">
        <f t="shared" si="11"/>
        <v>52.008158859242428</v>
      </c>
      <c r="Y33" s="67">
        <f t="shared" si="11"/>
        <v>53.04832203642728</v>
      </c>
      <c r="Z33" s="67">
        <f t="shared" si="11"/>
        <v>54.109288477155829</v>
      </c>
      <c r="AA33" s="67">
        <f t="shared" si="11"/>
        <v>55.191474246698945</v>
      </c>
      <c r="AB33" s="68">
        <f t="shared" si="11"/>
        <v>56.295303731632927</v>
      </c>
    </row>
    <row r="34" spans="2:28" x14ac:dyDescent="0.2">
      <c r="B34" s="46" t="s">
        <v>18</v>
      </c>
      <c r="C34" s="61"/>
      <c r="D34" s="69">
        <f>Operating_Costs</f>
        <v>20</v>
      </c>
      <c r="E34" s="67">
        <f t="shared" ref="E34:AB34" si="12">D34*(1+OpCosts_Growth_1)</f>
        <v>20.8</v>
      </c>
      <c r="F34" s="67">
        <f t="shared" si="12"/>
        <v>21.632000000000001</v>
      </c>
      <c r="G34" s="67">
        <f t="shared" si="12"/>
        <v>22.497280000000003</v>
      </c>
      <c r="H34" s="67">
        <f t="shared" si="12"/>
        <v>23.397171200000006</v>
      </c>
      <c r="I34" s="67">
        <f t="shared" si="12"/>
        <v>24.333058048000009</v>
      </c>
      <c r="J34" s="67">
        <f t="shared" si="12"/>
        <v>25.30638036992001</v>
      </c>
      <c r="K34" s="67">
        <f t="shared" si="12"/>
        <v>26.318635584716812</v>
      </c>
      <c r="L34" s="67">
        <f t="shared" si="12"/>
        <v>27.371381008105487</v>
      </c>
      <c r="M34" s="67">
        <f t="shared" si="12"/>
        <v>28.466236248429709</v>
      </c>
      <c r="N34" s="67">
        <f t="shared" si="12"/>
        <v>29.6048856983669</v>
      </c>
      <c r="O34" s="67">
        <f t="shared" si="12"/>
        <v>30.789081126301578</v>
      </c>
      <c r="P34" s="67">
        <f t="shared" si="12"/>
        <v>32.02064437135364</v>
      </c>
      <c r="Q34" s="67">
        <f t="shared" si="12"/>
        <v>33.301470146207784</v>
      </c>
      <c r="R34" s="67">
        <f t="shared" si="12"/>
        <v>34.633528952056096</v>
      </c>
      <c r="S34" s="67">
        <f t="shared" si="12"/>
        <v>36.018870110138344</v>
      </c>
      <c r="T34" s="67">
        <f t="shared" si="12"/>
        <v>37.45962491454388</v>
      </c>
      <c r="U34" s="67">
        <f t="shared" si="12"/>
        <v>38.958009911125636</v>
      </c>
      <c r="V34" s="67">
        <f t="shared" si="12"/>
        <v>40.516330307570662</v>
      </c>
      <c r="W34" s="67">
        <f t="shared" si="12"/>
        <v>42.136983519873489</v>
      </c>
      <c r="X34" s="67">
        <f t="shared" si="12"/>
        <v>43.822462860668431</v>
      </c>
      <c r="Y34" s="67">
        <f t="shared" si="12"/>
        <v>45.57536137509517</v>
      </c>
      <c r="Z34" s="67">
        <f t="shared" si="12"/>
        <v>47.398375830098978</v>
      </c>
      <c r="AA34" s="67">
        <f t="shared" si="12"/>
        <v>49.29431086330294</v>
      </c>
      <c r="AB34" s="68">
        <f t="shared" si="12"/>
        <v>51.26608329783506</v>
      </c>
    </row>
    <row r="35" spans="2:28" x14ac:dyDescent="0.2">
      <c r="B35" s="46" t="s">
        <v>66</v>
      </c>
      <c r="C35" s="61"/>
      <c r="D35" s="66">
        <f>0.01*D32*(D33-D34)</f>
        <v>16.5</v>
      </c>
      <c r="E35" s="66">
        <f t="shared" ref="E35:AB35" si="13">0.01*E32*(E33-E34)</f>
        <v>17.209500000000002</v>
      </c>
      <c r="F35" s="66">
        <f t="shared" si="13"/>
        <v>17.738399999999999</v>
      </c>
      <c r="G35" s="66">
        <f t="shared" si="13"/>
        <v>17.573999999999995</v>
      </c>
      <c r="H35" s="66">
        <f t="shared" si="13"/>
        <v>17.385545279999995</v>
      </c>
      <c r="I35" s="66">
        <f t="shared" si="13"/>
        <v>17.171724076799993</v>
      </c>
      <c r="J35" s="66">
        <f t="shared" si="13"/>
        <v>16.931165165183995</v>
      </c>
      <c r="K35" s="66">
        <f t="shared" si="13"/>
        <v>16.662435339609594</v>
      </c>
      <c r="L35" s="66">
        <f t="shared" si="13"/>
        <v>16.36403679236858</v>
      </c>
      <c r="M35" s="66">
        <f t="shared" si="13"/>
        <v>16.034404384021418</v>
      </c>
      <c r="N35" s="66">
        <f t="shared" si="13"/>
        <v>15.671902801739527</v>
      </c>
      <c r="O35" s="66">
        <f t="shared" si="13"/>
        <v>15.274823601013507</v>
      </c>
      <c r="P35" s="66">
        <f t="shared" si="13"/>
        <v>14.841382126002545</v>
      </c>
      <c r="Q35" s="66">
        <f t="shared" si="13"/>
        <v>14.369714303610115</v>
      </c>
      <c r="R35" s="66">
        <f t="shared" si="13"/>
        <v>13.857873306173333</v>
      </c>
      <c r="S35" s="66">
        <f t="shared" si="13"/>
        <v>13.303826077447454</v>
      </c>
      <c r="T35" s="66">
        <f t="shared" si="13"/>
        <v>12.705449716353082</v>
      </c>
      <c r="U35" s="66">
        <f t="shared" si="13"/>
        <v>12.060527712731092</v>
      </c>
      <c r="V35" s="66">
        <f t="shared" si="13"/>
        <v>11.366746029118696</v>
      </c>
      <c r="W35" s="66">
        <f t="shared" si="13"/>
        <v>10.621689022319375</v>
      </c>
      <c r="X35" s="66">
        <f t="shared" si="13"/>
        <v>9.8228351982887965</v>
      </c>
      <c r="Y35" s="66">
        <f t="shared" si="13"/>
        <v>8.9675527935985304</v>
      </c>
      <c r="Z35" s="66">
        <f t="shared" si="13"/>
        <v>8.0530951764682204</v>
      </c>
      <c r="AA35" s="66">
        <f t="shared" si="13"/>
        <v>7.0765960600752065</v>
      </c>
      <c r="AB35" s="70">
        <f t="shared" si="13"/>
        <v>6.0350645205574409</v>
      </c>
    </row>
    <row r="36" spans="2:28" x14ac:dyDescent="0.2">
      <c r="B36" s="46" t="s">
        <v>68</v>
      </c>
      <c r="C36" s="61"/>
      <c r="D36" s="66">
        <f>IF(D32&lt;0.25*D31,0,IF(D35&lt;0,0,D32))</f>
        <v>110</v>
      </c>
      <c r="E36" s="66">
        <f t="shared" ref="E36:M36" si="14">IF(E32&lt;0.25*E31,0,IF(E35&lt;0,0,E32))</f>
        <v>115.5</v>
      </c>
      <c r="F36" s="66">
        <f t="shared" si="14"/>
        <v>120</v>
      </c>
      <c r="G36" s="66">
        <f t="shared" si="14"/>
        <v>120</v>
      </c>
      <c r="H36" s="66">
        <f t="shared" si="14"/>
        <v>120</v>
      </c>
      <c r="I36" s="66">
        <f t="shared" si="14"/>
        <v>120</v>
      </c>
      <c r="J36" s="66">
        <f t="shared" si="14"/>
        <v>120</v>
      </c>
      <c r="K36" s="66">
        <f t="shared" si="14"/>
        <v>120</v>
      </c>
      <c r="L36" s="66">
        <f t="shared" si="14"/>
        <v>120</v>
      </c>
      <c r="M36" s="66">
        <f t="shared" si="14"/>
        <v>120</v>
      </c>
      <c r="N36" s="66">
        <f t="shared" ref="N36:AB36" si="15">IF(N32&lt;0.25*N31,0,IF(N35&lt;0,0,N32))</f>
        <v>120</v>
      </c>
      <c r="O36" s="66">
        <f t="shared" si="15"/>
        <v>120</v>
      </c>
      <c r="P36" s="66">
        <f t="shared" si="15"/>
        <v>120</v>
      </c>
      <c r="Q36" s="66">
        <f t="shared" si="15"/>
        <v>120</v>
      </c>
      <c r="R36" s="66">
        <f t="shared" si="15"/>
        <v>120</v>
      </c>
      <c r="S36" s="66">
        <f t="shared" si="15"/>
        <v>120</v>
      </c>
      <c r="T36" s="66">
        <f t="shared" si="15"/>
        <v>120</v>
      </c>
      <c r="U36" s="66">
        <f t="shared" si="15"/>
        <v>120</v>
      </c>
      <c r="V36" s="66">
        <f t="shared" si="15"/>
        <v>120</v>
      </c>
      <c r="W36" s="66">
        <f t="shared" si="15"/>
        <v>120</v>
      </c>
      <c r="X36" s="66">
        <f t="shared" si="15"/>
        <v>120</v>
      </c>
      <c r="Y36" s="66">
        <f t="shared" si="15"/>
        <v>120</v>
      </c>
      <c r="Z36" s="66">
        <f t="shared" si="15"/>
        <v>120</v>
      </c>
      <c r="AA36" s="66">
        <f t="shared" si="15"/>
        <v>120</v>
      </c>
      <c r="AB36" s="70">
        <f t="shared" si="15"/>
        <v>120</v>
      </c>
    </row>
    <row r="37" spans="2:28" x14ac:dyDescent="0.2">
      <c r="B37" s="46" t="s">
        <v>67</v>
      </c>
      <c r="C37" s="61"/>
      <c r="D37" s="66">
        <f>0.01*D36*(D33-D34)</f>
        <v>16.5</v>
      </c>
      <c r="E37" s="66">
        <f t="shared" ref="E37:AB37" si="16">0.01*E36*(E33-E34)</f>
        <v>17.209500000000002</v>
      </c>
      <c r="F37" s="66">
        <f t="shared" si="16"/>
        <v>17.738399999999999</v>
      </c>
      <c r="G37" s="66">
        <f t="shared" si="16"/>
        <v>17.573999999999995</v>
      </c>
      <c r="H37" s="66">
        <f t="shared" si="16"/>
        <v>17.385545279999995</v>
      </c>
      <c r="I37" s="66">
        <f t="shared" si="16"/>
        <v>17.171724076799993</v>
      </c>
      <c r="J37" s="66">
        <f t="shared" si="16"/>
        <v>16.931165165183995</v>
      </c>
      <c r="K37" s="66">
        <f t="shared" si="16"/>
        <v>16.662435339609594</v>
      </c>
      <c r="L37" s="66">
        <f t="shared" si="16"/>
        <v>16.36403679236858</v>
      </c>
      <c r="M37" s="66">
        <f t="shared" si="16"/>
        <v>16.034404384021418</v>
      </c>
      <c r="N37" s="66">
        <f t="shared" si="16"/>
        <v>15.671902801739527</v>
      </c>
      <c r="O37" s="66">
        <f t="shared" si="16"/>
        <v>15.274823601013507</v>
      </c>
      <c r="P37" s="66">
        <f t="shared" si="16"/>
        <v>14.841382126002545</v>
      </c>
      <c r="Q37" s="66">
        <f t="shared" si="16"/>
        <v>14.369714303610115</v>
      </c>
      <c r="R37" s="66">
        <f t="shared" si="16"/>
        <v>13.857873306173333</v>
      </c>
      <c r="S37" s="66">
        <f t="shared" si="16"/>
        <v>13.303826077447454</v>
      </c>
      <c r="T37" s="66">
        <f t="shared" si="16"/>
        <v>12.705449716353082</v>
      </c>
      <c r="U37" s="66">
        <f t="shared" si="16"/>
        <v>12.060527712731092</v>
      </c>
      <c r="V37" s="66">
        <f t="shared" si="16"/>
        <v>11.366746029118696</v>
      </c>
      <c r="W37" s="66">
        <f t="shared" si="16"/>
        <v>10.621689022319375</v>
      </c>
      <c r="X37" s="66">
        <f t="shared" si="16"/>
        <v>9.8228351982887965</v>
      </c>
      <c r="Y37" s="66">
        <f t="shared" si="16"/>
        <v>8.9675527935985304</v>
      </c>
      <c r="Z37" s="66">
        <f t="shared" si="16"/>
        <v>8.0530951764682204</v>
      </c>
      <c r="AA37" s="66">
        <f t="shared" si="16"/>
        <v>7.0765960600752065</v>
      </c>
      <c r="AB37" s="70">
        <f t="shared" si="16"/>
        <v>6.0350645205574409</v>
      </c>
    </row>
    <row r="38" spans="2:28" x14ac:dyDescent="0.2">
      <c r="B38" s="46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52"/>
      <c r="T38" s="52"/>
      <c r="U38" s="52"/>
      <c r="V38" s="52"/>
      <c r="W38" s="52"/>
      <c r="X38" s="52"/>
      <c r="Y38" s="52"/>
      <c r="Z38" s="52"/>
      <c r="AA38" s="52"/>
      <c r="AB38" s="53"/>
    </row>
    <row r="39" spans="2:28" x14ac:dyDescent="0.2">
      <c r="B39" s="46" t="s">
        <v>56</v>
      </c>
      <c r="C39" s="61"/>
      <c r="D39" s="64">
        <f>-0.01*CapEx+D37</f>
        <v>6.5</v>
      </c>
      <c r="E39" s="62">
        <f>E37</f>
        <v>17.209500000000002</v>
      </c>
      <c r="F39" s="62">
        <f t="shared" ref="F39:AB39" si="17">F37</f>
        <v>17.738399999999999</v>
      </c>
      <c r="G39" s="62">
        <f t="shared" si="17"/>
        <v>17.573999999999995</v>
      </c>
      <c r="H39" s="62">
        <f t="shared" si="17"/>
        <v>17.385545279999995</v>
      </c>
      <c r="I39" s="62">
        <f t="shared" si="17"/>
        <v>17.171724076799993</v>
      </c>
      <c r="J39" s="62">
        <f t="shared" si="17"/>
        <v>16.931165165183995</v>
      </c>
      <c r="K39" s="62">
        <f t="shared" si="17"/>
        <v>16.662435339609594</v>
      </c>
      <c r="L39" s="62">
        <f t="shared" si="17"/>
        <v>16.36403679236858</v>
      </c>
      <c r="M39" s="62">
        <f t="shared" si="17"/>
        <v>16.034404384021418</v>
      </c>
      <c r="N39" s="62">
        <f t="shared" si="17"/>
        <v>15.671902801739527</v>
      </c>
      <c r="O39" s="62">
        <f t="shared" si="17"/>
        <v>15.274823601013507</v>
      </c>
      <c r="P39" s="62">
        <f t="shared" si="17"/>
        <v>14.841382126002545</v>
      </c>
      <c r="Q39" s="62">
        <f t="shared" si="17"/>
        <v>14.369714303610115</v>
      </c>
      <c r="R39" s="62">
        <f t="shared" si="17"/>
        <v>13.857873306173333</v>
      </c>
      <c r="S39" s="62">
        <f t="shared" si="17"/>
        <v>13.303826077447454</v>
      </c>
      <c r="T39" s="62">
        <f t="shared" si="17"/>
        <v>12.705449716353082</v>
      </c>
      <c r="U39" s="62">
        <f t="shared" si="17"/>
        <v>12.060527712731092</v>
      </c>
      <c r="V39" s="62">
        <f t="shared" si="17"/>
        <v>11.366746029118696</v>
      </c>
      <c r="W39" s="62">
        <f t="shared" si="17"/>
        <v>10.621689022319375</v>
      </c>
      <c r="X39" s="62">
        <f t="shared" si="17"/>
        <v>9.8228351982887965</v>
      </c>
      <c r="Y39" s="62">
        <f t="shared" si="17"/>
        <v>8.9675527935985304</v>
      </c>
      <c r="Z39" s="62">
        <f t="shared" si="17"/>
        <v>8.0530951764682204</v>
      </c>
      <c r="AA39" s="62">
        <f t="shared" si="17"/>
        <v>7.0765960600752065</v>
      </c>
      <c r="AB39" s="63">
        <f t="shared" si="17"/>
        <v>6.0350645205574409</v>
      </c>
    </row>
    <row r="40" spans="2:28" x14ac:dyDescent="0.2">
      <c r="B40" s="48" t="s">
        <v>57</v>
      </c>
      <c r="C40" s="58">
        <f>NPV(Discount_Rate,DCF!D39:AB39)+Upfront_NPV</f>
        <v>122.64078698378933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2"/>
      <c r="T40" s="52"/>
      <c r="U40" s="52"/>
      <c r="V40" s="52"/>
      <c r="W40" s="52"/>
      <c r="X40" s="52"/>
      <c r="Y40" s="52"/>
      <c r="Z40" s="52"/>
      <c r="AA40" s="52"/>
      <c r="AB40" s="53"/>
    </row>
    <row r="41" spans="2:28" x14ac:dyDescent="0.2">
      <c r="B41" s="48"/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52"/>
      <c r="T41" s="52"/>
      <c r="U41" s="52"/>
      <c r="V41" s="52"/>
      <c r="W41" s="52"/>
      <c r="X41" s="52"/>
      <c r="Y41" s="52"/>
      <c r="Z41" s="52"/>
      <c r="AA41" s="52"/>
      <c r="AB41" s="53"/>
    </row>
    <row r="42" spans="2:28" x14ac:dyDescent="0.2">
      <c r="B42" s="48" t="s">
        <v>64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</row>
    <row r="43" spans="2:28" x14ac:dyDescent="0.2">
      <c r="B43" s="46" t="s">
        <v>13</v>
      </c>
      <c r="C43" s="52"/>
      <c r="D43" s="62">
        <f>Pipeline_Capacity*12</f>
        <v>120</v>
      </c>
      <c r="E43" s="62">
        <f>D43</f>
        <v>120</v>
      </c>
      <c r="F43" s="62">
        <f t="shared" ref="F43:AB43" si="18">E43</f>
        <v>120</v>
      </c>
      <c r="G43" s="62">
        <f t="shared" si="18"/>
        <v>120</v>
      </c>
      <c r="H43" s="62">
        <f t="shared" si="18"/>
        <v>120</v>
      </c>
      <c r="I43" s="62">
        <f t="shared" si="18"/>
        <v>120</v>
      </c>
      <c r="J43" s="62">
        <f t="shared" si="18"/>
        <v>120</v>
      </c>
      <c r="K43" s="62">
        <f t="shared" si="18"/>
        <v>120</v>
      </c>
      <c r="L43" s="62">
        <f t="shared" si="18"/>
        <v>120</v>
      </c>
      <c r="M43" s="62">
        <f t="shared" si="18"/>
        <v>120</v>
      </c>
      <c r="N43" s="62">
        <f t="shared" si="18"/>
        <v>120</v>
      </c>
      <c r="O43" s="62">
        <f t="shared" si="18"/>
        <v>120</v>
      </c>
      <c r="P43" s="62">
        <f t="shared" si="18"/>
        <v>120</v>
      </c>
      <c r="Q43" s="62">
        <f t="shared" si="18"/>
        <v>120</v>
      </c>
      <c r="R43" s="62">
        <f t="shared" si="18"/>
        <v>120</v>
      </c>
      <c r="S43" s="62">
        <f t="shared" si="18"/>
        <v>120</v>
      </c>
      <c r="T43" s="62">
        <f t="shared" si="18"/>
        <v>120</v>
      </c>
      <c r="U43" s="62">
        <f t="shared" si="18"/>
        <v>120</v>
      </c>
      <c r="V43" s="62">
        <f t="shared" si="18"/>
        <v>120</v>
      </c>
      <c r="W43" s="62">
        <f t="shared" si="18"/>
        <v>120</v>
      </c>
      <c r="X43" s="62">
        <f t="shared" si="18"/>
        <v>120</v>
      </c>
      <c r="Y43" s="62">
        <f t="shared" si="18"/>
        <v>120</v>
      </c>
      <c r="Z43" s="62">
        <f t="shared" si="18"/>
        <v>120</v>
      </c>
      <c r="AA43" s="62">
        <f t="shared" si="18"/>
        <v>120</v>
      </c>
      <c r="AB43" s="63">
        <f t="shared" si="18"/>
        <v>120</v>
      </c>
    </row>
    <row r="44" spans="2:28" x14ac:dyDescent="0.2">
      <c r="B44" s="46" t="s">
        <v>61</v>
      </c>
      <c r="C44" s="52"/>
      <c r="D44" s="61">
        <f>Actual_Reserves</f>
        <v>5000</v>
      </c>
      <c r="E44" s="52">
        <f t="shared" ref="E44:AB44" si="19">D44-D50</f>
        <v>4880</v>
      </c>
      <c r="F44" s="52">
        <f t="shared" si="19"/>
        <v>4760</v>
      </c>
      <c r="G44" s="52">
        <f t="shared" si="19"/>
        <v>4640</v>
      </c>
      <c r="H44" s="52">
        <f t="shared" si="19"/>
        <v>4520</v>
      </c>
      <c r="I44" s="52">
        <f t="shared" si="19"/>
        <v>4400</v>
      </c>
      <c r="J44" s="52">
        <f t="shared" si="19"/>
        <v>4280</v>
      </c>
      <c r="K44" s="52">
        <f t="shared" si="19"/>
        <v>4160</v>
      </c>
      <c r="L44" s="52">
        <f t="shared" si="19"/>
        <v>4040</v>
      </c>
      <c r="M44" s="52">
        <f t="shared" si="19"/>
        <v>3920</v>
      </c>
      <c r="N44" s="52">
        <f t="shared" si="19"/>
        <v>3800</v>
      </c>
      <c r="O44" s="52">
        <f t="shared" si="19"/>
        <v>3680</v>
      </c>
      <c r="P44" s="52">
        <f t="shared" si="19"/>
        <v>3560</v>
      </c>
      <c r="Q44" s="52">
        <f t="shared" si="19"/>
        <v>3440</v>
      </c>
      <c r="R44" s="52">
        <f t="shared" si="19"/>
        <v>3320</v>
      </c>
      <c r="S44" s="52">
        <f t="shared" si="19"/>
        <v>3200</v>
      </c>
      <c r="T44" s="52">
        <f t="shared" si="19"/>
        <v>3080</v>
      </c>
      <c r="U44" s="52">
        <f t="shared" si="19"/>
        <v>2960</v>
      </c>
      <c r="V44" s="52">
        <f t="shared" si="19"/>
        <v>2840</v>
      </c>
      <c r="W44" s="52">
        <f t="shared" si="19"/>
        <v>2840</v>
      </c>
      <c r="X44" s="52">
        <f t="shared" si="19"/>
        <v>2840</v>
      </c>
      <c r="Y44" s="52">
        <f t="shared" si="19"/>
        <v>2840</v>
      </c>
      <c r="Z44" s="52">
        <f t="shared" si="19"/>
        <v>2840</v>
      </c>
      <c r="AA44" s="52">
        <f t="shared" si="19"/>
        <v>2840</v>
      </c>
      <c r="AB44" s="53">
        <f t="shared" si="19"/>
        <v>2840</v>
      </c>
    </row>
    <row r="45" spans="2:28" x14ac:dyDescent="0.2">
      <c r="B45" s="46" t="s">
        <v>62</v>
      </c>
      <c r="C45" s="52"/>
      <c r="D45" s="62">
        <f>D16+Market_2_Stability_Future*DCF!D26</f>
        <v>290</v>
      </c>
      <c r="E45" s="62">
        <f>E16+Market_2_Stability_Future*DCF!E26</f>
        <v>304.5</v>
      </c>
      <c r="F45" s="62">
        <f>F16+Market_2_Stability_Future*DCF!F26</f>
        <v>319.72500000000002</v>
      </c>
      <c r="G45" s="62">
        <f>G16+Market_2_Stability_Future*DCF!G26</f>
        <v>335.71125000000006</v>
      </c>
      <c r="H45" s="62">
        <f>H16+Market_2_Stability_Future*DCF!H26</f>
        <v>349.13970000000006</v>
      </c>
      <c r="I45" s="62">
        <f>I16+Market_2_Stability_Future*DCF!I26</f>
        <v>363.10528800000003</v>
      </c>
      <c r="J45" s="62">
        <f>J16+Market_2_Stability_Future*DCF!J26</f>
        <v>373.99844664000005</v>
      </c>
      <c r="K45" s="62">
        <f>K16+Market_2_Stability_Future*DCF!K26</f>
        <v>385.21840003920011</v>
      </c>
      <c r="L45" s="62">
        <f>L16+Market_2_Stability_Future*DCF!L26</f>
        <v>396.77495204037609</v>
      </c>
      <c r="M45" s="62">
        <f>M16+Market_2_Stability_Future*DCF!M26</f>
        <v>408.67820060158738</v>
      </c>
      <c r="N45" s="62">
        <f>N16+Market_2_Stability_Future*DCF!N26</f>
        <v>416.85176461361914</v>
      </c>
      <c r="O45" s="62">
        <f>O16+Market_2_Stability_Future*DCF!O26</f>
        <v>425.18879990589147</v>
      </c>
      <c r="P45" s="62">
        <f>P16+Market_2_Stability_Future*DCF!P26</f>
        <v>433.69257590400929</v>
      </c>
      <c r="Q45" s="62">
        <f>Q16+Market_2_Stability_Future*DCF!Q26</f>
        <v>442.36642742208949</v>
      </c>
      <c r="R45" s="62">
        <f>R16+Market_2_Stability_Future*DCF!R26</f>
        <v>451.21375597053134</v>
      </c>
      <c r="S45" s="62">
        <f>S16+Market_2_Stability_Future*DCF!S26</f>
        <v>460.23803108994196</v>
      </c>
      <c r="T45" s="62">
        <f>T16+Market_2_Stability_Future*DCF!T26</f>
        <v>469.44279171174077</v>
      </c>
      <c r="U45" s="62">
        <f>U16+Market_2_Stability_Future*DCF!U26</f>
        <v>478.83164754597561</v>
      </c>
      <c r="V45" s="62">
        <f>V16+Market_2_Stability_Future*DCF!V26</f>
        <v>488.40828049689515</v>
      </c>
      <c r="W45" s="62">
        <f>W16+Market_2_Stability_Future*DCF!W26</f>
        <v>498.17644610683305</v>
      </c>
      <c r="X45" s="62">
        <f>X16+Market_2_Stability_Future*DCF!X26</f>
        <v>508.13997502896973</v>
      </c>
      <c r="Y45" s="62">
        <f>Y16+Market_2_Stability_Future*DCF!Y26</f>
        <v>518.3027745295492</v>
      </c>
      <c r="Z45" s="62">
        <f>Z16+Market_2_Stability_Future*DCF!Z26</f>
        <v>528.66883002014015</v>
      </c>
      <c r="AA45" s="62">
        <f>AA16+Market_2_Stability_Future*DCF!AA26</f>
        <v>539.2422066205429</v>
      </c>
      <c r="AB45" s="63">
        <f>AB16+Market_2_Stability_Future*DCF!AB26</f>
        <v>550.02705075295376</v>
      </c>
    </row>
    <row r="46" spans="2:28" x14ac:dyDescent="0.2">
      <c r="B46" s="46" t="s">
        <v>65</v>
      </c>
      <c r="C46" s="52"/>
      <c r="D46" s="67">
        <f t="shared" ref="D46:AB46" si="20">MIN(D44/10,D43,D45)</f>
        <v>120</v>
      </c>
      <c r="E46" s="67">
        <f t="shared" si="20"/>
        <v>120</v>
      </c>
      <c r="F46" s="67">
        <f t="shared" si="20"/>
        <v>120</v>
      </c>
      <c r="G46" s="67">
        <f t="shared" si="20"/>
        <v>120</v>
      </c>
      <c r="H46" s="67">
        <f t="shared" si="20"/>
        <v>120</v>
      </c>
      <c r="I46" s="67">
        <f t="shared" si="20"/>
        <v>120</v>
      </c>
      <c r="J46" s="67">
        <f t="shared" si="20"/>
        <v>120</v>
      </c>
      <c r="K46" s="67">
        <f t="shared" si="20"/>
        <v>120</v>
      </c>
      <c r="L46" s="67">
        <f t="shared" si="20"/>
        <v>120</v>
      </c>
      <c r="M46" s="67">
        <f t="shared" si="20"/>
        <v>120</v>
      </c>
      <c r="N46" s="67">
        <f t="shared" si="20"/>
        <v>120</v>
      </c>
      <c r="O46" s="67">
        <f t="shared" si="20"/>
        <v>120</v>
      </c>
      <c r="P46" s="67">
        <f t="shared" si="20"/>
        <v>120</v>
      </c>
      <c r="Q46" s="67">
        <f t="shared" si="20"/>
        <v>120</v>
      </c>
      <c r="R46" s="67">
        <f t="shared" si="20"/>
        <v>120</v>
      </c>
      <c r="S46" s="67">
        <f t="shared" si="20"/>
        <v>120</v>
      </c>
      <c r="T46" s="67">
        <f t="shared" si="20"/>
        <v>120</v>
      </c>
      <c r="U46" s="67">
        <f t="shared" si="20"/>
        <v>120</v>
      </c>
      <c r="V46" s="67">
        <f t="shared" si="20"/>
        <v>120</v>
      </c>
      <c r="W46" s="67">
        <f t="shared" si="20"/>
        <v>120</v>
      </c>
      <c r="X46" s="67">
        <f t="shared" si="20"/>
        <v>120</v>
      </c>
      <c r="Y46" s="67">
        <f t="shared" si="20"/>
        <v>120</v>
      </c>
      <c r="Z46" s="67">
        <f t="shared" si="20"/>
        <v>120</v>
      </c>
      <c r="AA46" s="67">
        <f t="shared" si="20"/>
        <v>120</v>
      </c>
      <c r="AB46" s="68">
        <f t="shared" si="20"/>
        <v>120</v>
      </c>
    </row>
    <row r="47" spans="2:28" x14ac:dyDescent="0.2">
      <c r="B47" s="46" t="s">
        <v>78</v>
      </c>
      <c r="C47" s="52"/>
      <c r="D47" s="69">
        <f>Actual_Price</f>
        <v>35</v>
      </c>
      <c r="E47" s="67">
        <f t="shared" ref="E47:AB47" si="21">D47*(1+Price_Growth_2)</f>
        <v>35.700000000000003</v>
      </c>
      <c r="F47" s="67">
        <f t="shared" si="21"/>
        <v>36.414000000000001</v>
      </c>
      <c r="G47" s="67">
        <f t="shared" si="21"/>
        <v>37.14228</v>
      </c>
      <c r="H47" s="67">
        <f t="shared" si="21"/>
        <v>37.885125600000002</v>
      </c>
      <c r="I47" s="67">
        <f t="shared" si="21"/>
        <v>38.642828112000004</v>
      </c>
      <c r="J47" s="67">
        <f t="shared" si="21"/>
        <v>39.415684674240005</v>
      </c>
      <c r="K47" s="67">
        <f t="shared" si="21"/>
        <v>40.203998367724807</v>
      </c>
      <c r="L47" s="67">
        <f t="shared" si="21"/>
        <v>41.008078335079304</v>
      </c>
      <c r="M47" s="67">
        <f t="shared" si="21"/>
        <v>41.82823990178089</v>
      </c>
      <c r="N47" s="67">
        <f t="shared" si="21"/>
        <v>42.664804699816507</v>
      </c>
      <c r="O47" s="67">
        <f t="shared" si="21"/>
        <v>43.518100793812835</v>
      </c>
      <c r="P47" s="67">
        <f t="shared" si="21"/>
        <v>44.388462809689095</v>
      </c>
      <c r="Q47" s="67">
        <f t="shared" si="21"/>
        <v>45.27623206588288</v>
      </c>
      <c r="R47" s="67">
        <f t="shared" si="21"/>
        <v>46.181756707200542</v>
      </c>
      <c r="S47" s="67">
        <f t="shared" si="21"/>
        <v>47.105391841344556</v>
      </c>
      <c r="T47" s="67">
        <f t="shared" si="21"/>
        <v>48.047499678171448</v>
      </c>
      <c r="U47" s="67">
        <f t="shared" si="21"/>
        <v>49.00844967173488</v>
      </c>
      <c r="V47" s="67">
        <f t="shared" si="21"/>
        <v>49.988618665169575</v>
      </c>
      <c r="W47" s="67">
        <f t="shared" si="21"/>
        <v>50.988391038472969</v>
      </c>
      <c r="X47" s="67">
        <f t="shared" si="21"/>
        <v>52.008158859242428</v>
      </c>
      <c r="Y47" s="67">
        <f t="shared" si="21"/>
        <v>53.04832203642728</v>
      </c>
      <c r="Z47" s="67">
        <f t="shared" si="21"/>
        <v>54.109288477155829</v>
      </c>
      <c r="AA47" s="67">
        <f t="shared" si="21"/>
        <v>55.191474246698945</v>
      </c>
      <c r="AB47" s="68">
        <f t="shared" si="21"/>
        <v>56.295303731632927</v>
      </c>
    </row>
    <row r="48" spans="2:28" x14ac:dyDescent="0.2">
      <c r="B48" s="46" t="s">
        <v>18</v>
      </c>
      <c r="C48" s="52"/>
      <c r="D48" s="69">
        <f>Operating_Costs</f>
        <v>20</v>
      </c>
      <c r="E48" s="67">
        <f t="shared" ref="E48:AB48" si="22">D48*(1+OpCosts_Growth_2)</f>
        <v>20.6</v>
      </c>
      <c r="F48" s="67">
        <f t="shared" si="22"/>
        <v>21.218000000000004</v>
      </c>
      <c r="G48" s="67">
        <f t="shared" si="22"/>
        <v>21.854540000000004</v>
      </c>
      <c r="H48" s="67">
        <f t="shared" si="22"/>
        <v>22.510176200000004</v>
      </c>
      <c r="I48" s="67">
        <f t="shared" si="22"/>
        <v>23.185481486000004</v>
      </c>
      <c r="J48" s="67">
        <f t="shared" si="22"/>
        <v>23.881045930580004</v>
      </c>
      <c r="K48" s="67">
        <f t="shared" si="22"/>
        <v>24.597477308497407</v>
      </c>
      <c r="L48" s="67">
        <f t="shared" si="22"/>
        <v>25.335401627752329</v>
      </c>
      <c r="M48" s="67">
        <f t="shared" si="22"/>
        <v>26.095463676584899</v>
      </c>
      <c r="N48" s="67">
        <f t="shared" si="22"/>
        <v>26.878327586882445</v>
      </c>
      <c r="O48" s="67">
        <f t="shared" si="22"/>
        <v>27.68467741448892</v>
      </c>
      <c r="P48" s="67">
        <f t="shared" si="22"/>
        <v>28.515217736923589</v>
      </c>
      <c r="Q48" s="67">
        <f t="shared" si="22"/>
        <v>29.370674269031298</v>
      </c>
      <c r="R48" s="67">
        <f t="shared" si="22"/>
        <v>30.251794497102239</v>
      </c>
      <c r="S48" s="67">
        <f t="shared" si="22"/>
        <v>31.159348332015306</v>
      </c>
      <c r="T48" s="67">
        <f t="shared" si="22"/>
        <v>32.094128781975769</v>
      </c>
      <c r="U48" s="67">
        <f t="shared" si="22"/>
        <v>33.05695264543504</v>
      </c>
      <c r="V48" s="67">
        <f t="shared" si="22"/>
        <v>34.048661224798089</v>
      </c>
      <c r="W48" s="67">
        <f t="shared" si="22"/>
        <v>35.070121061542032</v>
      </c>
      <c r="X48" s="67">
        <f t="shared" si="22"/>
        <v>36.122224693388297</v>
      </c>
      <c r="Y48" s="67">
        <f t="shared" si="22"/>
        <v>37.205891434189944</v>
      </c>
      <c r="Z48" s="67">
        <f t="shared" si="22"/>
        <v>38.322068177215641</v>
      </c>
      <c r="AA48" s="67">
        <f t="shared" si="22"/>
        <v>39.471730222532109</v>
      </c>
      <c r="AB48" s="68">
        <f t="shared" si="22"/>
        <v>40.655882129208074</v>
      </c>
    </row>
    <row r="49" spans="2:28" x14ac:dyDescent="0.2">
      <c r="B49" s="46" t="s">
        <v>66</v>
      </c>
      <c r="C49" s="52"/>
      <c r="D49" s="66">
        <f>0.01*D46*(D47-D48)</f>
        <v>18</v>
      </c>
      <c r="E49" s="66">
        <f t="shared" ref="E49:AB49" si="23">0.01*E46*(E47-E48)</f>
        <v>18.12</v>
      </c>
      <c r="F49" s="66">
        <f t="shared" si="23"/>
        <v>18.235199999999995</v>
      </c>
      <c r="G49" s="66">
        <f t="shared" si="23"/>
        <v>18.345287999999993</v>
      </c>
      <c r="H49" s="66">
        <f t="shared" si="23"/>
        <v>18.449939279999999</v>
      </c>
      <c r="I49" s="66">
        <f t="shared" si="23"/>
        <v>18.548815951199998</v>
      </c>
      <c r="J49" s="66">
        <f t="shared" si="23"/>
        <v>18.641566492391998</v>
      </c>
      <c r="K49" s="66">
        <f t="shared" si="23"/>
        <v>18.727825271072881</v>
      </c>
      <c r="L49" s="66">
        <f t="shared" si="23"/>
        <v>18.807212048792369</v>
      </c>
      <c r="M49" s="66">
        <f t="shared" si="23"/>
        <v>18.87933147023519</v>
      </c>
      <c r="N49" s="66">
        <f t="shared" si="23"/>
        <v>18.943772535520875</v>
      </c>
      <c r="O49" s="66">
        <f t="shared" si="23"/>
        <v>19.000108055188697</v>
      </c>
      <c r="P49" s="66">
        <f t="shared" si="23"/>
        <v>19.047894087318607</v>
      </c>
      <c r="Q49" s="66">
        <f t="shared" si="23"/>
        <v>19.086669356221897</v>
      </c>
      <c r="R49" s="66">
        <f t="shared" si="23"/>
        <v>19.115954652117964</v>
      </c>
      <c r="S49" s="66">
        <f t="shared" si="23"/>
        <v>19.135252211195098</v>
      </c>
      <c r="T49" s="66">
        <f t="shared" si="23"/>
        <v>19.144045075434814</v>
      </c>
      <c r="U49" s="66">
        <f t="shared" si="23"/>
        <v>19.141796431559808</v>
      </c>
      <c r="V49" s="66">
        <f t="shared" si="23"/>
        <v>19.127948928445782</v>
      </c>
      <c r="W49" s="66">
        <f t="shared" si="23"/>
        <v>19.101923972317124</v>
      </c>
      <c r="X49" s="66">
        <f t="shared" si="23"/>
        <v>19.063120999024957</v>
      </c>
      <c r="Y49" s="66">
        <f t="shared" si="23"/>
        <v>19.010916722684801</v>
      </c>
      <c r="Z49" s="66">
        <f t="shared" si="23"/>
        <v>18.944664359928225</v>
      </c>
      <c r="AA49" s="66">
        <f t="shared" si="23"/>
        <v>18.863692829000204</v>
      </c>
      <c r="AB49" s="70">
        <f t="shared" si="23"/>
        <v>18.767305922909824</v>
      </c>
    </row>
    <row r="50" spans="2:28" x14ac:dyDescent="0.2">
      <c r="B50" s="46" t="s">
        <v>68</v>
      </c>
      <c r="C50" s="52"/>
      <c r="D50" s="66">
        <f>IF(D46&lt;0.25*D45,0,IF(D49&lt;0,0,D46))</f>
        <v>120</v>
      </c>
      <c r="E50" s="66">
        <f t="shared" ref="E50:AB50" si="24">IF(E46&lt;0.25*E45,0,IF(E49&lt;0,0,E46))</f>
        <v>120</v>
      </c>
      <c r="F50" s="66">
        <f t="shared" si="24"/>
        <v>120</v>
      </c>
      <c r="G50" s="66">
        <f t="shared" si="24"/>
        <v>120</v>
      </c>
      <c r="H50" s="66">
        <f t="shared" si="24"/>
        <v>120</v>
      </c>
      <c r="I50" s="66">
        <f t="shared" si="24"/>
        <v>120</v>
      </c>
      <c r="J50" s="66">
        <f t="shared" si="24"/>
        <v>120</v>
      </c>
      <c r="K50" s="66">
        <f t="shared" si="24"/>
        <v>120</v>
      </c>
      <c r="L50" s="66">
        <f t="shared" si="24"/>
        <v>120</v>
      </c>
      <c r="M50" s="66">
        <f t="shared" si="24"/>
        <v>120</v>
      </c>
      <c r="N50" s="66">
        <f t="shared" si="24"/>
        <v>120</v>
      </c>
      <c r="O50" s="66">
        <f t="shared" si="24"/>
        <v>120</v>
      </c>
      <c r="P50" s="66">
        <f t="shared" si="24"/>
        <v>120</v>
      </c>
      <c r="Q50" s="66">
        <f t="shared" si="24"/>
        <v>120</v>
      </c>
      <c r="R50" s="66">
        <f t="shared" si="24"/>
        <v>120</v>
      </c>
      <c r="S50" s="66">
        <f t="shared" si="24"/>
        <v>120</v>
      </c>
      <c r="T50" s="66">
        <f t="shared" si="24"/>
        <v>120</v>
      </c>
      <c r="U50" s="66">
        <f t="shared" si="24"/>
        <v>120</v>
      </c>
      <c r="V50" s="66">
        <f t="shared" si="24"/>
        <v>0</v>
      </c>
      <c r="W50" s="66">
        <f t="shared" si="24"/>
        <v>0</v>
      </c>
      <c r="X50" s="66">
        <f t="shared" si="24"/>
        <v>0</v>
      </c>
      <c r="Y50" s="66">
        <f t="shared" si="24"/>
        <v>0</v>
      </c>
      <c r="Z50" s="66">
        <f t="shared" si="24"/>
        <v>0</v>
      </c>
      <c r="AA50" s="66">
        <f t="shared" si="24"/>
        <v>0</v>
      </c>
      <c r="AB50" s="70">
        <f t="shared" si="24"/>
        <v>0</v>
      </c>
    </row>
    <row r="51" spans="2:28" x14ac:dyDescent="0.2">
      <c r="B51" s="46" t="s">
        <v>67</v>
      </c>
      <c r="C51" s="52"/>
      <c r="D51" s="66">
        <f>0.01*D50*(D47-D48)</f>
        <v>18</v>
      </c>
      <c r="E51" s="66">
        <f t="shared" ref="E51:AB51" si="25">0.01*E50*(E47-E48)</f>
        <v>18.12</v>
      </c>
      <c r="F51" s="66">
        <f t="shared" si="25"/>
        <v>18.235199999999995</v>
      </c>
      <c r="G51" s="66">
        <f t="shared" si="25"/>
        <v>18.345287999999993</v>
      </c>
      <c r="H51" s="66">
        <f t="shared" si="25"/>
        <v>18.449939279999999</v>
      </c>
      <c r="I51" s="66">
        <f t="shared" si="25"/>
        <v>18.548815951199998</v>
      </c>
      <c r="J51" s="66">
        <f t="shared" si="25"/>
        <v>18.641566492391998</v>
      </c>
      <c r="K51" s="66">
        <f t="shared" si="25"/>
        <v>18.727825271072881</v>
      </c>
      <c r="L51" s="66">
        <f t="shared" si="25"/>
        <v>18.807212048792369</v>
      </c>
      <c r="M51" s="66">
        <f t="shared" si="25"/>
        <v>18.87933147023519</v>
      </c>
      <c r="N51" s="66">
        <f t="shared" si="25"/>
        <v>18.943772535520875</v>
      </c>
      <c r="O51" s="66">
        <f t="shared" si="25"/>
        <v>19.000108055188697</v>
      </c>
      <c r="P51" s="66">
        <f t="shared" si="25"/>
        <v>19.047894087318607</v>
      </c>
      <c r="Q51" s="66">
        <f t="shared" si="25"/>
        <v>19.086669356221897</v>
      </c>
      <c r="R51" s="66">
        <f t="shared" si="25"/>
        <v>19.115954652117964</v>
      </c>
      <c r="S51" s="66">
        <f t="shared" si="25"/>
        <v>19.135252211195098</v>
      </c>
      <c r="T51" s="66">
        <f t="shared" si="25"/>
        <v>19.144045075434814</v>
      </c>
      <c r="U51" s="66">
        <f t="shared" si="25"/>
        <v>19.141796431559808</v>
      </c>
      <c r="V51" s="66">
        <f t="shared" si="25"/>
        <v>0</v>
      </c>
      <c r="W51" s="66">
        <f t="shared" si="25"/>
        <v>0</v>
      </c>
      <c r="X51" s="66">
        <f t="shared" si="25"/>
        <v>0</v>
      </c>
      <c r="Y51" s="66">
        <f t="shared" si="25"/>
        <v>0</v>
      </c>
      <c r="Z51" s="66">
        <f t="shared" si="25"/>
        <v>0</v>
      </c>
      <c r="AA51" s="66">
        <f t="shared" si="25"/>
        <v>0</v>
      </c>
      <c r="AB51" s="70">
        <f t="shared" si="25"/>
        <v>0</v>
      </c>
    </row>
    <row r="52" spans="2:28" x14ac:dyDescent="0.2">
      <c r="B52" s="46"/>
      <c r="C52" s="52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52"/>
      <c r="Y52" s="52"/>
      <c r="Z52" s="52"/>
      <c r="AA52" s="52"/>
      <c r="AB52" s="53"/>
    </row>
    <row r="53" spans="2:28" x14ac:dyDescent="0.2">
      <c r="B53" s="46" t="s">
        <v>69</v>
      </c>
      <c r="C53" s="52"/>
      <c r="D53" s="71">
        <f>-0.01*(CapEx+Include_Market_2)+D51</f>
        <v>-17</v>
      </c>
      <c r="E53" s="62">
        <f>E51</f>
        <v>18.12</v>
      </c>
      <c r="F53" s="62">
        <f t="shared" ref="F53:AB53" si="26">F51</f>
        <v>18.235199999999995</v>
      </c>
      <c r="G53" s="62">
        <f t="shared" si="26"/>
        <v>18.345287999999993</v>
      </c>
      <c r="H53" s="62">
        <f t="shared" si="26"/>
        <v>18.449939279999999</v>
      </c>
      <c r="I53" s="62">
        <f t="shared" si="26"/>
        <v>18.548815951199998</v>
      </c>
      <c r="J53" s="62">
        <f t="shared" si="26"/>
        <v>18.641566492391998</v>
      </c>
      <c r="K53" s="62">
        <f t="shared" si="26"/>
        <v>18.727825271072881</v>
      </c>
      <c r="L53" s="62">
        <f t="shared" si="26"/>
        <v>18.807212048792369</v>
      </c>
      <c r="M53" s="62">
        <f t="shared" si="26"/>
        <v>18.87933147023519</v>
      </c>
      <c r="N53" s="62">
        <f t="shared" si="26"/>
        <v>18.943772535520875</v>
      </c>
      <c r="O53" s="62">
        <f t="shared" si="26"/>
        <v>19.000108055188697</v>
      </c>
      <c r="P53" s="62">
        <f t="shared" si="26"/>
        <v>19.047894087318607</v>
      </c>
      <c r="Q53" s="62">
        <f t="shared" si="26"/>
        <v>19.086669356221897</v>
      </c>
      <c r="R53" s="62">
        <f t="shared" si="26"/>
        <v>19.115954652117964</v>
      </c>
      <c r="S53" s="62">
        <f t="shared" si="26"/>
        <v>19.135252211195098</v>
      </c>
      <c r="T53" s="62">
        <f t="shared" si="26"/>
        <v>19.144045075434814</v>
      </c>
      <c r="U53" s="62">
        <f t="shared" si="26"/>
        <v>19.141796431559808</v>
      </c>
      <c r="V53" s="62">
        <f t="shared" si="26"/>
        <v>0</v>
      </c>
      <c r="W53" s="62">
        <f t="shared" si="26"/>
        <v>0</v>
      </c>
      <c r="X53" s="62">
        <f t="shared" si="26"/>
        <v>0</v>
      </c>
      <c r="Y53" s="62">
        <f t="shared" si="26"/>
        <v>0</v>
      </c>
      <c r="Z53" s="62">
        <f t="shared" si="26"/>
        <v>0</v>
      </c>
      <c r="AA53" s="62">
        <f t="shared" si="26"/>
        <v>0</v>
      </c>
      <c r="AB53" s="63">
        <f t="shared" si="26"/>
        <v>0</v>
      </c>
    </row>
    <row r="54" spans="2:28" x14ac:dyDescent="0.2">
      <c r="B54" s="48" t="s">
        <v>70</v>
      </c>
      <c r="C54" s="58">
        <f>NPV(Discount_Rate,DCF!D53:AB53)+Upfront_NPV</f>
        <v>110.17057836104911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</row>
    <row r="55" spans="2:28" x14ac:dyDescent="0.2">
      <c r="B55" s="10"/>
      <c r="C55" s="1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</row>
    <row r="56" spans="2:28" ht="18.75" customHeight="1" x14ac:dyDescent="0.2"/>
    <row r="58" spans="2:28" hidden="1" x14ac:dyDescent="0.2">
      <c r="C58" s="38"/>
    </row>
    <row r="62" spans="2:28" hidden="1" x14ac:dyDescent="0.2">
      <c r="B62" s="39"/>
    </row>
    <row r="63" spans="2:28" hidden="1" x14ac:dyDescent="0.2">
      <c r="B63" s="3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showGridLines="0" zoomScaleNormal="100" workbookViewId="0"/>
  </sheetViews>
  <sheetFormatPr defaultColWidth="0" defaultRowHeight="12.75" zeroHeight="1" x14ac:dyDescent="0.2"/>
  <cols>
    <col min="1" max="1" width="2.7109375" style="15" customWidth="1"/>
    <col min="2" max="2" width="26.140625" style="15" customWidth="1"/>
    <col min="3" max="3" width="9.85546875" style="15" customWidth="1"/>
    <col min="4" max="8" width="9.140625" style="15" customWidth="1"/>
    <col min="9" max="9" width="3.7109375" style="15" customWidth="1"/>
    <col min="10" max="12" width="0" style="15" hidden="1" customWidth="1"/>
    <col min="13" max="16384" width="9.140625" style="15" hidden="1"/>
  </cols>
  <sheetData>
    <row r="1" spans="2:12" ht="17.25" customHeight="1" x14ac:dyDescent="0.25">
      <c r="B1" s="37"/>
    </row>
    <row r="2" spans="2:12" x14ac:dyDescent="0.2">
      <c r="B2" s="43"/>
      <c r="C2" s="41">
        <f>Start_year-5</f>
        <v>2018</v>
      </c>
      <c r="D2" s="41">
        <f>Start_year-4</f>
        <v>2019</v>
      </c>
      <c r="E2" s="41">
        <f>Start_year-3</f>
        <v>2020</v>
      </c>
      <c r="F2" s="41">
        <f>Start_year-2</f>
        <v>2021</v>
      </c>
      <c r="G2" s="41">
        <f>Start_year-1</f>
        <v>2022</v>
      </c>
      <c r="H2" s="41">
        <f>Start_year</f>
        <v>2023</v>
      </c>
    </row>
    <row r="3" spans="2:12" x14ac:dyDescent="0.2">
      <c r="B3" s="12"/>
      <c r="C3" s="13"/>
      <c r="D3" s="13"/>
      <c r="E3" s="13"/>
      <c r="F3" s="13"/>
      <c r="G3" s="13"/>
      <c r="H3" s="14"/>
    </row>
    <row r="4" spans="2:12" x14ac:dyDescent="0.2">
      <c r="B4" s="46" t="s">
        <v>47</v>
      </c>
      <c r="C4" s="52">
        <v>94</v>
      </c>
      <c r="D4" s="52">
        <v>96</v>
      </c>
      <c r="E4" s="52">
        <v>100</v>
      </c>
      <c r="F4" s="52">
        <v>99</v>
      </c>
      <c r="G4" s="52">
        <v>107</v>
      </c>
      <c r="H4" s="53">
        <f>Market_1_Size</f>
        <v>110</v>
      </c>
      <c r="I4" s="44"/>
      <c r="J4" s="44"/>
      <c r="K4" s="44"/>
      <c r="L4" s="44"/>
    </row>
    <row r="5" spans="2:12" x14ac:dyDescent="0.2">
      <c r="B5" s="4"/>
      <c r="C5" s="52"/>
      <c r="D5" s="52"/>
      <c r="E5" s="52"/>
      <c r="F5" s="52"/>
      <c r="G5" s="52"/>
      <c r="H5" s="53"/>
    </row>
    <row r="6" spans="2:12" x14ac:dyDescent="0.2">
      <c r="B6" s="46" t="s">
        <v>43</v>
      </c>
      <c r="C6" s="52">
        <v>155</v>
      </c>
      <c r="D6" s="52">
        <v>170</v>
      </c>
      <c r="E6" s="52">
        <v>174</v>
      </c>
      <c r="F6" s="52">
        <v>168</v>
      </c>
      <c r="G6" s="52">
        <v>173</v>
      </c>
      <c r="H6" s="53">
        <f>Market_2_Size</f>
        <v>180</v>
      </c>
    </row>
    <row r="7" spans="2:12" x14ac:dyDescent="0.2">
      <c r="B7" s="4"/>
      <c r="C7" s="1"/>
      <c r="D7" s="1"/>
      <c r="E7" s="1"/>
      <c r="F7" s="1"/>
      <c r="G7" s="1"/>
      <c r="H7" s="3"/>
    </row>
    <row r="8" spans="2:12" x14ac:dyDescent="0.2">
      <c r="B8" s="5"/>
      <c r="C8" s="6"/>
      <c r="D8" s="6"/>
      <c r="E8" s="6"/>
      <c r="F8" s="6"/>
      <c r="G8" s="6"/>
      <c r="H8" s="7"/>
    </row>
    <row r="9" spans="2:12" x14ac:dyDescent="0.2"/>
    <row r="10" spans="2:12" hidden="1" x14ac:dyDescent="0.2">
      <c r="B10" s="45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Assumptions</vt:lpstr>
      <vt:lpstr>DCF</vt:lpstr>
      <vt:lpstr>Market Trend Data</vt:lpstr>
      <vt:lpstr>Actual_Price</vt:lpstr>
      <vt:lpstr>Actual_Reserves</vt:lpstr>
      <vt:lpstr>CapEx</vt:lpstr>
      <vt:lpstr>Discount_Rate</vt:lpstr>
      <vt:lpstr>Include_Market_2</vt:lpstr>
      <vt:lpstr>Include_Market_2_No</vt:lpstr>
      <vt:lpstr>Include_Market_2_Yes</vt:lpstr>
      <vt:lpstr>Initial_Marketing_Spend</vt:lpstr>
      <vt:lpstr>Initial_Upstream_Investment</vt:lpstr>
      <vt:lpstr>Market_1_Size</vt:lpstr>
      <vt:lpstr>Market_2_Size</vt:lpstr>
      <vt:lpstr>Market_2_Stability_Future</vt:lpstr>
      <vt:lpstr>Mkt_1_All_Years</vt:lpstr>
      <vt:lpstr>Mkt_1_Growth</vt:lpstr>
      <vt:lpstr>Mkt_1_Model</vt:lpstr>
      <vt:lpstr>Mkt_2_Growth</vt:lpstr>
      <vt:lpstr>Mkt_2_Model</vt:lpstr>
      <vt:lpstr>OpCosts_Growth_1</vt:lpstr>
      <vt:lpstr>OpCosts_Growth_2</vt:lpstr>
      <vt:lpstr>Operating_Costs</vt:lpstr>
      <vt:lpstr>Pipeline_Capacity</vt:lpstr>
      <vt:lpstr>Price_Growth_1</vt:lpstr>
      <vt:lpstr>Price_Growth_2</vt:lpstr>
      <vt:lpstr>Proceed</vt:lpstr>
      <vt:lpstr>Start_year</vt:lpstr>
      <vt:lpstr>Ten_year_CF</vt:lpstr>
      <vt:lpstr>Total_NPV</vt:lpstr>
      <vt:lpstr>Upfront_Cost_Escalation</vt:lpstr>
      <vt:lpstr>Upfront_NPV</vt:lpstr>
      <vt:lpstr>Yr_by_Yr_Growth</vt:lpstr>
    </vt:vector>
  </TitlesOfParts>
  <Company>Carswell Smith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Carswell</dc:creator>
  <cp:lastModifiedBy>nfranz</cp:lastModifiedBy>
  <dcterms:created xsi:type="dcterms:W3CDTF">2007-08-28T14:53:07Z</dcterms:created>
  <dcterms:modified xsi:type="dcterms:W3CDTF">2022-04-18T20:30:59Z</dcterms:modified>
</cp:coreProperties>
</file>