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ranz\Desktop\Hugo Industries Model\"/>
    </mc:Choice>
  </mc:AlternateContent>
  <xr:revisionPtr revIDLastSave="0" documentId="8_{384218B1-7409-4259-B36B-C5A950C22B95}" xr6:coauthVersionLast="47" xr6:coauthVersionMax="47" xr10:uidLastSave="{00000000-0000-0000-0000-000000000000}"/>
  <bookViews>
    <workbookView xWindow="6615" yWindow="75" windowWidth="17790" windowHeight="15525" xr2:uid="{00000000-000D-0000-FFFF-FFFF00000000}"/>
  </bookViews>
  <sheets>
    <sheet name="Parameters" sheetId="1" r:id="rId1"/>
    <sheet name="MarketSize" sheetId="7" r:id="rId2"/>
    <sheet name="Patient Share Model" sheetId="3" r:id="rId3"/>
    <sheet name="Cash Flow" sheetId="4" r:id="rId4"/>
    <sheet name="Init Values" sheetId="2" r:id="rId5"/>
  </sheets>
  <definedNames>
    <definedName name="Addl_Mkting_Cost">Parameters!$D$14</definedName>
    <definedName name="ASP_Growth_NP">Parameters!$D$12</definedName>
    <definedName name="ASP_NP">Parameters!$D$11</definedName>
    <definedName name="ASP_SBP">Parameters!$D$35</definedName>
    <definedName name="Cash_Flow">'Cash Flow'!$E$45:$T$45</definedName>
    <definedName name="Cash_Upfront">Parameters!$D$36</definedName>
    <definedName name="cf_2007">'Cash Flow'!$E$45</definedName>
    <definedName name="cf_2008">'Cash Flow'!$F$45</definedName>
    <definedName name="cf_2009">'Cash Flow'!$G$45</definedName>
    <definedName name="cf_2010">'Cash Flow'!$H$45</definedName>
    <definedName name="cf_2011">'Cash Flow'!$I$45</definedName>
    <definedName name="cf_2012">'Cash Flow'!$J$45</definedName>
    <definedName name="cf_2013">'Cash Flow'!$K$45</definedName>
    <definedName name="cf_2014">'Cash Flow'!$L$45</definedName>
    <definedName name="cf_2015">'Cash Flow'!$M$45</definedName>
    <definedName name="cf_2016">'Cash Flow'!$N$45</definedName>
    <definedName name="cf_2017">'Cash Flow'!$O$45</definedName>
    <definedName name="cf_2018">'Cash Flow'!$P$45</definedName>
    <definedName name="cf_2019">'Cash Flow'!$Q$45</definedName>
    <definedName name="cf_2020">'Cash Flow'!$R$45</definedName>
    <definedName name="cf_2021">'Cash Flow'!$S$45</definedName>
    <definedName name="cf_2022">'Cash Flow'!$T$45</definedName>
    <definedName name="COGS_NP">Parameters!$D$9</definedName>
    <definedName name="Conv_2v1">Parameters!$D$31</definedName>
    <definedName name="Conv_3v2">Parameters!$D$41</definedName>
    <definedName name="Curr_Year">Parameters!$D$6</definedName>
    <definedName name="Disc_Rate">Parameters!$D$8</definedName>
    <definedName name="DPL_2GenAvail">Parameters!$D$53</definedName>
    <definedName name="DPL_3GenAvail">Parameters!$D$54</definedName>
    <definedName name="DPL_DLCM">Parameters!$D$49</definedName>
    <definedName name="DPL_InitDec">Parameters!$D$48</definedName>
    <definedName name="DPL_MktExp">Parameters!$D$64</definedName>
    <definedName name="DPL_NPV">Parameters!$D$77</definedName>
    <definedName name="DPL_SBPYr">Parameters!$D$62</definedName>
    <definedName name="DPL_StudyRes">Parameters!$D$58</definedName>
    <definedName name="Final_Year">Parameters!$D$7</definedName>
    <definedName name="Marketing_Cost">Parameters!$D$13</definedName>
    <definedName name="Mkt_Growth_Base">Parameters!$D$19</definedName>
    <definedName name="Mkt_Share_NP">Parameters!$D$21</definedName>
    <definedName name="mkt_size_2ndcomp">MarketSize!$D$17:$S$17</definedName>
    <definedName name="mkt_size_3rdcomp">MarketSize!$D$21:$S$21</definedName>
    <definedName name="mkt_size_maxcomp">MarketSize!$D$25:$S$25</definedName>
    <definedName name="mkt_size_nocomp">MarketSize!$D$15:$S$15</definedName>
    <definedName name="Mkt_Size_NP">Parameters!$D$18</definedName>
    <definedName name="NP_Dec_LCM">Parameters!$D$25</definedName>
    <definedName name="NP_Decline_Rt">Parameters!$D$23</definedName>
    <definedName name="NP_Decline_Yr">Parameters!$D$22</definedName>
    <definedName name="p_2ndGen">'Init Values'!$C$6:$D$6</definedName>
    <definedName name="p_2ndGenStudy">'Init Values'!$C$15:$E$15</definedName>
    <definedName name="p_3rdGen">'Init Values'!$C$9:$D$9</definedName>
    <definedName name="p_SBPLaunch">'Init Values'!$C$12:$F$12</definedName>
    <definedName name="Royalty">Parameters!$D$33</definedName>
    <definedName name="SBP_Shr">Parameters!$D$32</definedName>
    <definedName name="Share_2v1">Parameters!$D$30</definedName>
    <definedName name="Share_3v2">Parameters!$D$40</definedName>
    <definedName name="SM_SBP">Parameters!$D$34</definedName>
    <definedName name="Tax_Rate">Parameters!$D$10</definedName>
    <definedName name="v_mktexp">'Init Values'!$C$22:$E$22</definedName>
    <definedName name="v_yrSBP">'Init Values'!$C$19:$F$19</definedName>
    <definedName name="Yr_2Gen">Parameters!$D$42</definedName>
    <definedName name="Yr_2Gen_avail">Parameters!$D$70</definedName>
    <definedName name="Yr_3Gen">Parameters!$D$43</definedName>
    <definedName name="Yr_3Gen_avail">Parameters!$D$71</definedName>
    <definedName name="Yr_Delay_LCM">Parameters!$D$26</definedName>
    <definedName name="Yr_MktExp">Parameters!$D$72</definedName>
    <definedName name="Yr_Study">Parameters!$D$73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26" i="1"/>
  <c r="D70" i="1"/>
  <c r="D73" i="1" s="1"/>
  <c r="D71" i="1"/>
  <c r="C6" i="3"/>
  <c r="E27" i="4"/>
  <c r="D11" i="7"/>
  <c r="E2" i="3"/>
  <c r="D7" i="3"/>
  <c r="D14" i="3"/>
  <c r="D15" i="7"/>
  <c r="G29" i="7"/>
  <c r="E30" i="4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F47" i="4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D5" i="4"/>
  <c r="D15" i="3" l="1"/>
  <c r="D72" i="1"/>
  <c r="E11" i="7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D17" i="7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P17" i="7" s="1"/>
  <c r="Q17" i="7" s="1"/>
  <c r="R17" i="7" s="1"/>
  <c r="S17" i="7" s="1"/>
  <c r="D25" i="7"/>
  <c r="D21" i="7"/>
  <c r="E15" i="7"/>
  <c r="E5" i="4"/>
  <c r="E14" i="3"/>
  <c r="E31" i="3"/>
  <c r="E19" i="3"/>
  <c r="E20" i="3" s="1"/>
  <c r="F2" i="3"/>
  <c r="E21" i="7" l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E25" i="7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S25" i="7" s="1"/>
  <c r="E29" i="3"/>
  <c r="E7" i="3"/>
  <c r="F31" i="3"/>
  <c r="F19" i="3"/>
  <c r="F20" i="3" s="1"/>
  <c r="G2" i="3"/>
  <c r="F14" i="3"/>
  <c r="F5" i="4"/>
  <c r="E21" i="3"/>
  <c r="E30" i="3" s="1"/>
  <c r="E18" i="3"/>
  <c r="F15" i="7"/>
  <c r="F7" i="3" l="1"/>
  <c r="F8" i="3" s="1"/>
  <c r="E35" i="3"/>
  <c r="E29" i="4" s="1"/>
  <c r="E31" i="4" s="1"/>
  <c r="E35" i="4" s="1"/>
  <c r="F18" i="3"/>
  <c r="F27" i="3" s="1"/>
  <c r="E8" i="3"/>
  <c r="E15" i="3"/>
  <c r="F29" i="3"/>
  <c r="E22" i="3"/>
  <c r="E25" i="3" s="1"/>
  <c r="E27" i="3"/>
  <c r="E34" i="3" s="1"/>
  <c r="E8" i="4" s="1"/>
  <c r="E10" i="4" s="1"/>
  <c r="E16" i="4" s="1"/>
  <c r="G5" i="4"/>
  <c r="G19" i="3"/>
  <c r="G20" i="3" s="1"/>
  <c r="G31" i="3"/>
  <c r="G14" i="3"/>
  <c r="H2" i="3"/>
  <c r="F21" i="3"/>
  <c r="F30" i="3" s="1"/>
  <c r="G15" i="7"/>
  <c r="G7" i="3"/>
  <c r="F15" i="3" l="1"/>
  <c r="F35" i="3"/>
  <c r="F29" i="4" s="1"/>
  <c r="F31" i="4" s="1"/>
  <c r="F34" i="3"/>
  <c r="F8" i="4" s="1"/>
  <c r="F10" i="4" s="1"/>
  <c r="F16" i="4" s="1"/>
  <c r="E33" i="4"/>
  <c r="E37" i="4" s="1"/>
  <c r="E39" i="4" s="1"/>
  <c r="E40" i="4" s="1"/>
  <c r="F22" i="3"/>
  <c r="F25" i="3" s="1"/>
  <c r="G18" i="3"/>
  <c r="G22" i="3" s="1"/>
  <c r="G21" i="3"/>
  <c r="G30" i="3" s="1"/>
  <c r="G29" i="3"/>
  <c r="G35" i="3" s="1"/>
  <c r="G29" i="4" s="1"/>
  <c r="G31" i="4" s="1"/>
  <c r="G15" i="3"/>
  <c r="G8" i="3"/>
  <c r="E15" i="4"/>
  <c r="E17" i="4" s="1"/>
  <c r="E12" i="4"/>
  <c r="E13" i="4" s="1"/>
  <c r="H7" i="3"/>
  <c r="H15" i="7"/>
  <c r="F33" i="4"/>
  <c r="F35" i="4"/>
  <c r="H14" i="3"/>
  <c r="I2" i="3"/>
  <c r="H5" i="4"/>
  <c r="H31" i="3"/>
  <c r="H19" i="3"/>
  <c r="F15" i="4" l="1"/>
  <c r="F17" i="4" s="1"/>
  <c r="F12" i="4"/>
  <c r="F13" i="4" s="1"/>
  <c r="G27" i="3"/>
  <c r="G34" i="3" s="1"/>
  <c r="G8" i="4" s="1"/>
  <c r="G10" i="4" s="1"/>
  <c r="G16" i="4" s="1"/>
  <c r="G25" i="3"/>
  <c r="H20" i="3"/>
  <c r="H29" i="3" s="1"/>
  <c r="H35" i="3" s="1"/>
  <c r="H29" i="4" s="1"/>
  <c r="H31" i="4" s="1"/>
  <c r="E19" i="4"/>
  <c r="E21" i="4" s="1"/>
  <c r="E22" i="4" s="1"/>
  <c r="E45" i="4" s="1"/>
  <c r="E48" i="4" s="1"/>
  <c r="H8" i="3"/>
  <c r="H15" i="3"/>
  <c r="I5" i="4"/>
  <c r="I14" i="3"/>
  <c r="I31" i="3"/>
  <c r="I19" i="3"/>
  <c r="I20" i="3" s="1"/>
  <c r="J2" i="3"/>
  <c r="F37" i="4"/>
  <c r="G35" i="4"/>
  <c r="G33" i="4"/>
  <c r="H18" i="3"/>
  <c r="I15" i="7"/>
  <c r="I7" i="3"/>
  <c r="F19" i="4" l="1"/>
  <c r="F21" i="4" s="1"/>
  <c r="F22" i="4" s="1"/>
  <c r="G15" i="4"/>
  <c r="G17" i="4" s="1"/>
  <c r="G12" i="4"/>
  <c r="G13" i="4" s="1"/>
  <c r="H21" i="3"/>
  <c r="H30" i="3" s="1"/>
  <c r="I29" i="3"/>
  <c r="I35" i="3" s="1"/>
  <c r="I29" i="4" s="1"/>
  <c r="I31" i="4" s="1"/>
  <c r="I21" i="3"/>
  <c r="I30" i="3" s="1"/>
  <c r="H33" i="4"/>
  <c r="H35" i="4"/>
  <c r="F39" i="4"/>
  <c r="F40" i="4" s="1"/>
  <c r="F45" i="4" s="1"/>
  <c r="F48" i="4" s="1"/>
  <c r="H22" i="3"/>
  <c r="H27" i="3"/>
  <c r="H34" i="3" s="1"/>
  <c r="H8" i="4" s="1"/>
  <c r="H10" i="4" s="1"/>
  <c r="H16" i="4" s="1"/>
  <c r="I15" i="3"/>
  <c r="I8" i="3"/>
  <c r="J14" i="3"/>
  <c r="J19" i="3"/>
  <c r="J20" i="3" s="1"/>
  <c r="K2" i="3"/>
  <c r="J31" i="3"/>
  <c r="J5" i="4"/>
  <c r="I18" i="3"/>
  <c r="J15" i="7"/>
  <c r="J7" i="3"/>
  <c r="G37" i="4"/>
  <c r="G19" i="4" l="1"/>
  <c r="G21" i="4" s="1"/>
  <c r="G22" i="4" s="1"/>
  <c r="H25" i="3"/>
  <c r="J29" i="3"/>
  <c r="J35" i="3" s="1"/>
  <c r="J29" i="4" s="1"/>
  <c r="J31" i="4" s="1"/>
  <c r="J21" i="3"/>
  <c r="J30" i="3" s="1"/>
  <c r="K5" i="4"/>
  <c r="K19" i="3"/>
  <c r="K20" i="3" s="1"/>
  <c r="K31" i="3"/>
  <c r="K14" i="3"/>
  <c r="L2" i="3"/>
  <c r="G39" i="4"/>
  <c r="G40" i="4" s="1"/>
  <c r="I33" i="4"/>
  <c r="I35" i="4"/>
  <c r="J15" i="3"/>
  <c r="J8" i="3"/>
  <c r="J18" i="3"/>
  <c r="H15" i="4"/>
  <c r="H17" i="4" s="1"/>
  <c r="H12" i="4"/>
  <c r="H13" i="4" s="1"/>
  <c r="I22" i="3"/>
  <c r="I25" i="3" s="1"/>
  <c r="I27" i="3"/>
  <c r="I34" i="3" s="1"/>
  <c r="I8" i="4" s="1"/>
  <c r="I10" i="4" s="1"/>
  <c r="I16" i="4" s="1"/>
  <c r="K15" i="7"/>
  <c r="K7" i="3"/>
  <c r="H37" i="4"/>
  <c r="G45" i="4" l="1"/>
  <c r="G48" i="4" s="1"/>
  <c r="H19" i="4"/>
  <c r="H21" i="4" s="1"/>
  <c r="H22" i="4" s="1"/>
  <c r="K29" i="3"/>
  <c r="K35" i="3" s="1"/>
  <c r="K29" i="4" s="1"/>
  <c r="K31" i="4" s="1"/>
  <c r="K21" i="3"/>
  <c r="K30" i="3" s="1"/>
  <c r="K8" i="3"/>
  <c r="K15" i="3"/>
  <c r="L7" i="3"/>
  <c r="L15" i="7"/>
  <c r="J22" i="3"/>
  <c r="J25" i="3" s="1"/>
  <c r="J27" i="3"/>
  <c r="J34" i="3" s="1"/>
  <c r="J8" i="4" s="1"/>
  <c r="J10" i="4" s="1"/>
  <c r="J16" i="4" s="1"/>
  <c r="I37" i="4"/>
  <c r="L31" i="3"/>
  <c r="M2" i="3"/>
  <c r="L5" i="4"/>
  <c r="L14" i="3"/>
  <c r="L19" i="3"/>
  <c r="L20" i="3" s="1"/>
  <c r="I15" i="4"/>
  <c r="I17" i="4" s="1"/>
  <c r="I12" i="4"/>
  <c r="I13" i="4" s="1"/>
  <c r="J35" i="4"/>
  <c r="J33" i="4"/>
  <c r="K18" i="3"/>
  <c r="H39" i="4"/>
  <c r="H40" i="4" s="1"/>
  <c r="L21" i="3" l="1"/>
  <c r="L30" i="3" s="1"/>
  <c r="J37" i="4"/>
  <c r="J39" i="4" s="1"/>
  <c r="J40" i="4" s="1"/>
  <c r="I19" i="4"/>
  <c r="I21" i="4" s="1"/>
  <c r="I22" i="4" s="1"/>
  <c r="L18" i="3"/>
  <c r="L27" i="3" s="1"/>
  <c r="L34" i="3" s="1"/>
  <c r="L8" i="4" s="1"/>
  <c r="L10" i="4" s="1"/>
  <c r="L16" i="4" s="1"/>
  <c r="M15" i="7"/>
  <c r="M7" i="3"/>
  <c r="J12" i="4"/>
  <c r="J13" i="4" s="1"/>
  <c r="J15" i="4"/>
  <c r="J17" i="4" s="1"/>
  <c r="L15" i="3"/>
  <c r="L8" i="3"/>
  <c r="I39" i="4"/>
  <c r="I40" i="4" s="1"/>
  <c r="H45" i="4"/>
  <c r="H48" i="4" s="1"/>
  <c r="L29" i="3"/>
  <c r="L35" i="3" s="1"/>
  <c r="L29" i="4" s="1"/>
  <c r="L31" i="4" s="1"/>
  <c r="M5" i="4"/>
  <c r="M31" i="3"/>
  <c r="M19" i="3"/>
  <c r="M20" i="3" s="1"/>
  <c r="N2" i="3"/>
  <c r="M14" i="3"/>
  <c r="K33" i="4"/>
  <c r="K35" i="4"/>
  <c r="K22" i="3"/>
  <c r="K25" i="3" s="1"/>
  <c r="K27" i="3"/>
  <c r="K34" i="3" s="1"/>
  <c r="K8" i="4" s="1"/>
  <c r="K10" i="4" s="1"/>
  <c r="K16" i="4" s="1"/>
  <c r="K37" i="4" l="1"/>
  <c r="K39" i="4" s="1"/>
  <c r="K40" i="4" s="1"/>
  <c r="M21" i="3"/>
  <c r="M30" i="3" s="1"/>
  <c r="L22" i="3"/>
  <c r="L25" i="3" s="1"/>
  <c r="M18" i="3"/>
  <c r="M27" i="3" s="1"/>
  <c r="M34" i="3" s="1"/>
  <c r="M8" i="4" s="1"/>
  <c r="M10" i="4" s="1"/>
  <c r="M16" i="4" s="1"/>
  <c r="J19" i="4"/>
  <c r="J21" i="4" s="1"/>
  <c r="J22" i="4" s="1"/>
  <c r="J45" i="4" s="1"/>
  <c r="J48" i="4" s="1"/>
  <c r="I45" i="4"/>
  <c r="I48" i="4" s="1"/>
  <c r="L15" i="4"/>
  <c r="L17" i="4" s="1"/>
  <c r="L12" i="4"/>
  <c r="L13" i="4" s="1"/>
  <c r="M29" i="3"/>
  <c r="M35" i="3" s="1"/>
  <c r="M29" i="4" s="1"/>
  <c r="M31" i="4" s="1"/>
  <c r="M15" i="3"/>
  <c r="M8" i="3"/>
  <c r="O2" i="3"/>
  <c r="N31" i="3"/>
  <c r="N5" i="4"/>
  <c r="N19" i="3"/>
  <c r="N20" i="3" s="1"/>
  <c r="N14" i="3"/>
  <c r="L35" i="4"/>
  <c r="L33" i="4"/>
  <c r="N15" i="7"/>
  <c r="N7" i="3"/>
  <c r="K12" i="4"/>
  <c r="K13" i="4" s="1"/>
  <c r="K15" i="4"/>
  <c r="K17" i="4" s="1"/>
  <c r="M22" i="3" l="1"/>
  <c r="M25" i="3" s="1"/>
  <c r="L37" i="4"/>
  <c r="L39" i="4" s="1"/>
  <c r="L40" i="4" s="1"/>
  <c r="L19" i="4"/>
  <c r="L21" i="4" s="1"/>
  <c r="L22" i="4" s="1"/>
  <c r="K19" i="4"/>
  <c r="K21" i="4" s="1"/>
  <c r="K22" i="4" s="1"/>
  <c r="K45" i="4" s="1"/>
  <c r="K48" i="4" s="1"/>
  <c r="N21" i="3"/>
  <c r="N30" i="3" s="1"/>
  <c r="N18" i="3"/>
  <c r="M33" i="4"/>
  <c r="M35" i="4"/>
  <c r="N15" i="3"/>
  <c r="N8" i="3"/>
  <c r="O15" i="7"/>
  <c r="O7" i="3"/>
  <c r="N29" i="3"/>
  <c r="N35" i="3" s="1"/>
  <c r="N29" i="4" s="1"/>
  <c r="N31" i="4" s="1"/>
  <c r="O5" i="4"/>
  <c r="O31" i="3"/>
  <c r="O14" i="3"/>
  <c r="O19" i="3"/>
  <c r="O20" i="3" s="1"/>
  <c r="P2" i="3"/>
  <c r="M15" i="4"/>
  <c r="M17" i="4" s="1"/>
  <c r="M12" i="4"/>
  <c r="M13" i="4" s="1"/>
  <c r="O18" i="3" l="1"/>
  <c r="O22" i="3" s="1"/>
  <c r="M19" i="4"/>
  <c r="M21" i="4" s="1"/>
  <c r="M22" i="4" s="1"/>
  <c r="O21" i="3"/>
  <c r="O30" i="3" s="1"/>
  <c r="L45" i="4"/>
  <c r="L48" i="4" s="1"/>
  <c r="P31" i="3"/>
  <c r="Q2" i="3"/>
  <c r="P5" i="4"/>
  <c r="P14" i="3"/>
  <c r="P19" i="3"/>
  <c r="P20" i="3" s="1"/>
  <c r="O29" i="3"/>
  <c r="O35" i="3" s="1"/>
  <c r="O29" i="4" s="1"/>
  <c r="O31" i="4" s="1"/>
  <c r="P7" i="3"/>
  <c r="P15" i="7"/>
  <c r="N33" i="4"/>
  <c r="N35" i="4"/>
  <c r="M37" i="4"/>
  <c r="O15" i="3"/>
  <c r="O8" i="3"/>
  <c r="N22" i="3"/>
  <c r="N25" i="3" s="1"/>
  <c r="N27" i="3"/>
  <c r="N34" i="3" s="1"/>
  <c r="N8" i="4" s="1"/>
  <c r="N10" i="4" s="1"/>
  <c r="N16" i="4" s="1"/>
  <c r="O27" i="3" l="1"/>
  <c r="O34" i="3" s="1"/>
  <c r="O8" i="4" s="1"/>
  <c r="O10" i="4" s="1"/>
  <c r="O16" i="4" s="1"/>
  <c r="O25" i="3"/>
  <c r="N37" i="4"/>
  <c r="N39" i="4" s="1"/>
  <c r="N40" i="4" s="1"/>
  <c r="P21" i="3"/>
  <c r="P30" i="3" s="1"/>
  <c r="P18" i="3"/>
  <c r="P22" i="3" s="1"/>
  <c r="Q15" i="7"/>
  <c r="Q7" i="3"/>
  <c r="P8" i="3"/>
  <c r="P15" i="3"/>
  <c r="P29" i="3"/>
  <c r="P35" i="3" s="1"/>
  <c r="P29" i="4" s="1"/>
  <c r="P31" i="4" s="1"/>
  <c r="N12" i="4"/>
  <c r="N13" i="4" s="1"/>
  <c r="N15" i="4"/>
  <c r="N17" i="4" s="1"/>
  <c r="M39" i="4"/>
  <c r="M40" i="4" s="1"/>
  <c r="M45" i="4" s="1"/>
  <c r="M48" i="4" s="1"/>
  <c r="O35" i="4"/>
  <c r="O33" i="4"/>
  <c r="Q5" i="4"/>
  <c r="R2" i="3"/>
  <c r="Q31" i="3"/>
  <c r="Q14" i="3"/>
  <c r="Q19" i="3"/>
  <c r="Q20" i="3" s="1"/>
  <c r="O12" i="4" l="1"/>
  <c r="O13" i="4" s="1"/>
  <c r="O15" i="4"/>
  <c r="O17" i="4" s="1"/>
  <c r="P25" i="3"/>
  <c r="P27" i="3"/>
  <c r="P34" i="3" s="1"/>
  <c r="P8" i="4" s="1"/>
  <c r="P10" i="4" s="1"/>
  <c r="P16" i="4" s="1"/>
  <c r="Q29" i="3"/>
  <c r="Q35" i="3" s="1"/>
  <c r="Q29" i="4" s="1"/>
  <c r="Q31" i="4" s="1"/>
  <c r="Q33" i="4" s="1"/>
  <c r="N19" i="4"/>
  <c r="N21" i="4" s="1"/>
  <c r="N22" i="4" s="1"/>
  <c r="N45" i="4" s="1"/>
  <c r="N48" i="4" s="1"/>
  <c r="Q21" i="3"/>
  <c r="Q30" i="3" s="1"/>
  <c r="O37" i="4"/>
  <c r="O39" i="4" s="1"/>
  <c r="O40" i="4" s="1"/>
  <c r="S2" i="3"/>
  <c r="R5" i="4"/>
  <c r="R31" i="3"/>
  <c r="R14" i="3"/>
  <c r="R19" i="3"/>
  <c r="R20" i="3" s="1"/>
  <c r="Q15" i="3"/>
  <c r="Q8" i="3"/>
  <c r="P35" i="4"/>
  <c r="P33" i="4"/>
  <c r="R15" i="7"/>
  <c r="R7" i="3"/>
  <c r="Q18" i="3"/>
  <c r="O19" i="4" l="1"/>
  <c r="O21" i="4" s="1"/>
  <c r="O22" i="4" s="1"/>
  <c r="O45" i="4" s="1"/>
  <c r="O48" i="4" s="1"/>
  <c r="Q35" i="4"/>
  <c r="Q37" i="4" s="1"/>
  <c r="Q39" i="4" s="1"/>
  <c r="Q40" i="4" s="1"/>
  <c r="P15" i="4"/>
  <c r="P17" i="4" s="1"/>
  <c r="P12" i="4"/>
  <c r="P13" i="4" s="1"/>
  <c r="R21" i="3"/>
  <c r="R30" i="3" s="1"/>
  <c r="R29" i="3"/>
  <c r="R35" i="3" s="1"/>
  <c r="R29" i="4" s="1"/>
  <c r="R31" i="4" s="1"/>
  <c r="R18" i="3"/>
  <c r="R22" i="3" s="1"/>
  <c r="Q27" i="3"/>
  <c r="Q34" i="3" s="1"/>
  <c r="Q8" i="4" s="1"/>
  <c r="Q10" i="4" s="1"/>
  <c r="Q16" i="4" s="1"/>
  <c r="Q22" i="3"/>
  <c r="Q25" i="3" s="1"/>
  <c r="P37" i="4"/>
  <c r="S15" i="7"/>
  <c r="T7" i="3" s="1"/>
  <c r="S7" i="3"/>
  <c r="R15" i="3"/>
  <c r="R8" i="3"/>
  <c r="S31" i="3"/>
  <c r="S5" i="4"/>
  <c r="T2" i="3"/>
  <c r="S14" i="3"/>
  <c r="S19" i="3"/>
  <c r="S20" i="3" s="1"/>
  <c r="P19" i="4" l="1"/>
  <c r="P21" i="4" s="1"/>
  <c r="P22" i="4" s="1"/>
  <c r="S29" i="3"/>
  <c r="S35" i="3" s="1"/>
  <c r="S29" i="4" s="1"/>
  <c r="S31" i="4" s="1"/>
  <c r="S33" i="4" s="1"/>
  <c r="S21" i="3"/>
  <c r="S30" i="3" s="1"/>
  <c r="R25" i="3"/>
  <c r="R27" i="3"/>
  <c r="R34" i="3" s="1"/>
  <c r="R8" i="4" s="1"/>
  <c r="R10" i="4" s="1"/>
  <c r="S18" i="3"/>
  <c r="S27" i="3" s="1"/>
  <c r="S34" i="3" s="1"/>
  <c r="S8" i="4" s="1"/>
  <c r="S10" i="4" s="1"/>
  <c r="S16" i="4" s="1"/>
  <c r="T5" i="4"/>
  <c r="T14" i="3"/>
  <c r="T15" i="3" s="1"/>
  <c r="T31" i="3"/>
  <c r="T19" i="3"/>
  <c r="T20" i="3" s="1"/>
  <c r="P39" i="4"/>
  <c r="P40" i="4" s="1"/>
  <c r="T8" i="3"/>
  <c r="R35" i="4"/>
  <c r="R33" i="4"/>
  <c r="S8" i="3"/>
  <c r="S15" i="3"/>
  <c r="Q15" i="4"/>
  <c r="Q17" i="4" s="1"/>
  <c r="Q12" i="4"/>
  <c r="Q13" i="4" s="1"/>
  <c r="S35" i="4" l="1"/>
  <c r="S37" i="4" s="1"/>
  <c r="R15" i="4"/>
  <c r="R16" i="4"/>
  <c r="S22" i="3"/>
  <c r="S25" i="3" s="1"/>
  <c r="P45" i="4"/>
  <c r="P48" i="4" s="1"/>
  <c r="R12" i="4"/>
  <c r="R13" i="4" s="1"/>
  <c r="T29" i="3"/>
  <c r="T35" i="3" s="1"/>
  <c r="T29" i="4" s="1"/>
  <c r="T31" i="4" s="1"/>
  <c r="T35" i="4" s="1"/>
  <c r="Q19" i="4"/>
  <c r="Q21" i="4" s="1"/>
  <c r="Q22" i="4" s="1"/>
  <c r="Q45" i="4" s="1"/>
  <c r="Q48" i="4" s="1"/>
  <c r="T21" i="3"/>
  <c r="T30" i="3" s="1"/>
  <c r="T18" i="3"/>
  <c r="R37" i="4"/>
  <c r="S15" i="4"/>
  <c r="S17" i="4" s="1"/>
  <c r="S12" i="4"/>
  <c r="S13" i="4" s="1"/>
  <c r="T33" i="4" l="1"/>
  <c r="T37" i="4" s="1"/>
  <c r="R17" i="4"/>
  <c r="R19" i="4" s="1"/>
  <c r="R21" i="4" s="1"/>
  <c r="R22" i="4" s="1"/>
  <c r="R39" i="4"/>
  <c r="R40" i="4" s="1"/>
  <c r="S19" i="4"/>
  <c r="T22" i="3"/>
  <c r="T25" i="3" s="1"/>
  <c r="T27" i="3"/>
  <c r="T34" i="3" s="1"/>
  <c r="T8" i="4" s="1"/>
  <c r="T10" i="4" s="1"/>
  <c r="T16" i="4" s="1"/>
  <c r="S39" i="4"/>
  <c r="S40" i="4" s="1"/>
  <c r="R45" i="4" l="1"/>
  <c r="R48" i="4" s="1"/>
  <c r="T12" i="4"/>
  <c r="T13" i="4" s="1"/>
  <c r="T15" i="4"/>
  <c r="T17" i="4" s="1"/>
  <c r="T39" i="4"/>
  <c r="T40" i="4" s="1"/>
  <c r="S21" i="4"/>
  <c r="S22" i="4" s="1"/>
  <c r="S45" i="4" s="1"/>
  <c r="S48" i="4" s="1"/>
  <c r="T19" i="4" l="1"/>
  <c r="T21" i="4" s="1"/>
  <c r="T22" i="4" s="1"/>
  <c r="T45" i="4" s="1"/>
  <c r="T48" i="4" s="1"/>
  <c r="E49" i="4" s="1"/>
  <c r="D77" i="1" s="1"/>
</calcChain>
</file>

<file path=xl/sharedStrings.xml><?xml version="1.0" encoding="utf-8"?>
<sst xmlns="http://schemas.openxmlformats.org/spreadsheetml/2006/main" count="246" uniqueCount="168">
  <si>
    <t>Current Year</t>
  </si>
  <si>
    <t>year</t>
  </si>
  <si>
    <t>Final Year</t>
  </si>
  <si>
    <t>Tax Rate</t>
  </si>
  <si>
    <t>%</t>
  </si>
  <si>
    <t>Discount Rate</t>
  </si>
  <si>
    <t>logical</t>
  </si>
  <si>
    <t>flag</t>
  </si>
  <si>
    <t>Quantitative Uncertainties</t>
  </si>
  <si>
    <t>Results</t>
  </si>
  <si>
    <t>NPV</t>
  </si>
  <si>
    <t>$M</t>
  </si>
  <si>
    <t>Probabilities and Values</t>
  </si>
  <si>
    <t>These settings initialize the DPL Model for the NeuroPriza Analysis</t>
  </si>
  <si>
    <t>COGS NeuroPriza</t>
  </si>
  <si>
    <t>2006 Market Share, NeuroPriza</t>
  </si>
  <si>
    <t>2006 Market Size, NeuroPriza</t>
  </si>
  <si>
    <t># patients (000)</t>
  </si>
  <si>
    <t xml:space="preserve">ASP in $/Patient/Year </t>
  </si>
  <si>
    <t>$</t>
  </si>
  <si>
    <t>Financial / Misc / NeuroPriza</t>
  </si>
  <si>
    <t>Decisions</t>
  </si>
  <si>
    <t>Market Growth Rate, No Expansion</t>
  </si>
  <si>
    <t>Delayed NeuroPriza Life-Cycle Management</t>
  </si>
  <si>
    <t>1=Yes, 0=No</t>
  </si>
  <si>
    <t>Regulatory Approval Uncertainties</t>
  </si>
  <si>
    <t>Year SBP Product Available</t>
  </si>
  <si>
    <t>Year Other 2nd Gen Product Launched (if approved)</t>
  </si>
  <si>
    <t>SBP Product / 2nd Gen Parameters</t>
  </si>
  <si>
    <t>5-Year Market Share, 2nd-Gen vs. First-Gen</t>
  </si>
  <si>
    <t>Other Competitor / 3rd Gen Parameters</t>
  </si>
  <si>
    <t>Patient Share Calculations for NeuroPriza Scenarios</t>
  </si>
  <si>
    <t>NeuroPriza # Patients if No 2nd Gen or 3rd Gen Comp</t>
  </si>
  <si>
    <t>(000)</t>
  </si>
  <si>
    <t>NeuroPriza Share Incorporating 2nd Gen Competitors</t>
  </si>
  <si>
    <t>NeuroPriza Share Incorporating 3rd Gen / All Competitors</t>
  </si>
  <si>
    <t>2nd Gen Competitors Shares:</t>
  </si>
  <si>
    <t xml:space="preserve">  SBP</t>
  </si>
  <si>
    <t xml:space="preserve">  Other 2nd Gen</t>
  </si>
  <si>
    <t>3rd Gen Competitors Share</t>
  </si>
  <si>
    <t>note: these are the final share calcs</t>
  </si>
  <si>
    <t>NeuroPriza # Patients (thousands)</t>
  </si>
  <si>
    <t>SBP # Patients (thousands)</t>
  </si>
  <si>
    <t>assume certain for now; 5 years post launch</t>
  </si>
  <si>
    <t>5-Year Market Share, 3rd-Gen vs. 2nd and First-Gen</t>
  </si>
  <si>
    <t>Royalty % of SBP Sales to GPM</t>
  </si>
  <si>
    <t xml:space="preserve">assume certain for now </t>
  </si>
  <si>
    <t>Sales&amp;Marketing Cost % of Sales for SBP to GPM</t>
  </si>
  <si>
    <t>ASP in $/Patient/Year for SBP Product</t>
  </si>
  <si>
    <t>Year 3rd Gen Products Launched (if approved)</t>
  </si>
  <si>
    <t>note: intermediate calcs, for checking logic</t>
  </si>
  <si>
    <t>Cash Flow Calculations for NeuroPriza Scenarios</t>
  </si>
  <si>
    <t>Cash Flows are after COGS, sales, marketing and tax expense. Accounting/depreciation not included.</t>
  </si>
  <si>
    <t>Up-Front (2007) Cash Payment to SBP for Co-Promote Deal</t>
  </si>
  <si>
    <t>assume certain for now; could also do tiers</t>
  </si>
  <si>
    <t>could vary this</t>
  </si>
  <si>
    <t>Other 2nd Gen Product Available</t>
  </si>
  <si>
    <t>3rd Gen Product Available</t>
  </si>
  <si>
    <t>Calculated Dates</t>
  </si>
  <si>
    <t>basically immediate</t>
  </si>
  <si>
    <t>Year Other 2nd Gen Product Available</t>
  </si>
  <si>
    <t>Market Size &amp; Share / NeuroPriza</t>
  </si>
  <si>
    <t>Comments</t>
  </si>
  <si>
    <t>SBP Share of 2nd-Gen if 2nd-Gen Competitor Launches</t>
  </si>
  <si>
    <t>don't ramp up to this; it's complicated enough already</t>
  </si>
  <si>
    <t>Annual Share Conversion Rate, First to 2nd Gen</t>
  </si>
  <si>
    <t>Year NeuroPriza Share Decline Begins (no new comp, no LCM)</t>
  </si>
  <si>
    <t>Annual NeuroPriza Share Decline Rate (no new comp, no LCM)</t>
  </si>
  <si>
    <t>Annual NeuroPriza Share Decline Rate WITH LCM</t>
  </si>
  <si>
    <t>Start Year for Delayed NeuroPriza LCM</t>
  </si>
  <si>
    <t>Year 3rd Gen Product Available</t>
  </si>
  <si>
    <t>also, assume LCM continues indefinitely</t>
  </si>
  <si>
    <t>market expansion is possible if at least one of the 3 other products launches</t>
  </si>
  <si>
    <t>assume date is the earliest possible launch date, or 2099 if no expansion</t>
  </si>
  <si>
    <t>Year Market Expansion Takes Effect</t>
  </si>
  <si>
    <t>note: intermediate calcs, for checking logic; incorp LCM</t>
  </si>
  <si>
    <t>NeuroPriza LCM or SBP Co-Promote</t>
  </si>
  <si>
    <t>1=NeuroPriza LCM, 2=Co-Promote</t>
  </si>
  <si>
    <t>assume no decline if LCM is initial strategy, because it starts immediately</t>
  </si>
  <si>
    <t>NeuroPriza Share of 1st Gen Market</t>
  </si>
  <si>
    <t>2nd Gen Competitors Shares (all)</t>
  </si>
  <si>
    <t>delayed LCM only happens if we decide to co-promote, and then SBP doesn't launch</t>
  </si>
  <si>
    <t>NeuroPriza Cash Flow</t>
  </si>
  <si>
    <t>SBP Co-Promotion Cash Flow</t>
  </si>
  <si>
    <t>years</t>
  </si>
  <si>
    <t>Years for 3rd-Gen to Reach Maximum Share</t>
  </si>
  <si>
    <t>assume linear growth to 5-year share</t>
  </si>
  <si>
    <t>Other 1st Gen, for checking</t>
  </si>
  <si>
    <t>note: check shares sum to 100%</t>
  </si>
  <si>
    <t>note: only NeuroPriza and SBP matter to cash flow</t>
  </si>
  <si>
    <t>Total Net Cash Flow to GlobalPharmaMedical</t>
  </si>
  <si>
    <t>Net Cash Flow ($M)</t>
  </si>
  <si>
    <t>Discount Factor</t>
  </si>
  <si>
    <t>Discounted Cash Flow ($M)</t>
  </si>
  <si>
    <t>NPV ($M)</t>
  </si>
  <si>
    <t>Sales</t>
  </si>
  <si>
    <t># Patients</t>
  </si>
  <si>
    <t>Revenue/Patient</t>
  </si>
  <si>
    <t>$ (000)</t>
  </si>
  <si>
    <t>COGS</t>
  </si>
  <si>
    <t>Gross Profit</t>
  </si>
  <si>
    <t>Sales&amp;Marketing Cost %, NeuroPriza WITHOUT LCM</t>
  </si>
  <si>
    <t>Additional Sales&amp;Marketing Cost %, NeuroPriza WITH LCM</t>
  </si>
  <si>
    <t>Sales &amp; Marketing Cost, not including LCM</t>
  </si>
  <si>
    <t>Sales &amp; Marketing Cost for LCM (if implemented)</t>
  </si>
  <si>
    <t>Total Expenses</t>
  </si>
  <si>
    <t>Operating Income</t>
  </si>
  <si>
    <t>Tax Expense</t>
  </si>
  <si>
    <t>Net Income</t>
  </si>
  <si>
    <t>Up-Front Payment to SBP</t>
  </si>
  <si>
    <t># Patients - SBP</t>
  </si>
  <si>
    <t>Revenue/Patient - SBP</t>
  </si>
  <si>
    <t>Sales - SBP</t>
  </si>
  <si>
    <t>Royalties from SBP Product to GPM</t>
  </si>
  <si>
    <t>ASP Growth NeuroPriza and SBP</t>
  </si>
  <si>
    <t>Sales &amp; Marketing Cost to GPM for SBP Product</t>
  </si>
  <si>
    <t>1=Yes</t>
  </si>
  <si>
    <t>2=No</t>
  </si>
  <si>
    <t>Probabilities</t>
  </si>
  <si>
    <t>Values</t>
  </si>
  <si>
    <t>Early</t>
  </si>
  <si>
    <t>Late</t>
  </si>
  <si>
    <t>Never</t>
  </si>
  <si>
    <t>Year SBP Product Launched</t>
  </si>
  <si>
    <t>low</t>
  </si>
  <si>
    <t>nominal</t>
  </si>
  <si>
    <t>high</t>
  </si>
  <si>
    <t>Market Expansion: Additional % Growth</t>
  </si>
  <si>
    <t>See Init Values Sheet</t>
  </si>
  <si>
    <t>Market Size for this Scenario (# Patients, thousands)</t>
  </si>
  <si>
    <t>Market Size Scenarios for NeuroPriza Market and Competitors</t>
  </si>
  <si>
    <t>Scenario</t>
  </si>
  <si>
    <t>Year</t>
  </si>
  <si>
    <t>Note: These scenarios depend upon the basic market growth rate parameter, currently set to:</t>
  </si>
  <si>
    <t>No new competitors</t>
  </si>
  <si>
    <t xml:space="preserve">        SBP, Other 2nd Gen, 3rd Gen all fail</t>
  </si>
  <si>
    <t>2nd Gen competitors only</t>
  </si>
  <si>
    <t xml:space="preserve">        3rd Gen fails</t>
  </si>
  <si>
    <t>3rd Gen competitors only</t>
  </si>
  <si>
    <t xml:space="preserve">        SBP and 2nd Gen both fail</t>
  </si>
  <si>
    <t xml:space="preserve">        3rd Gen is launched</t>
  </si>
  <si>
    <t xml:space="preserve">        Either SBP, Other 2nd Gen or both launch</t>
  </si>
  <si>
    <t>Maximum Competition</t>
  </si>
  <si>
    <t xml:space="preserve">        One or both 2nd Gen launches</t>
  </si>
  <si>
    <t xml:space="preserve">         3rd Gen launches</t>
  </si>
  <si>
    <t>2% additional annual growth</t>
  </si>
  <si>
    <t>3% additional annual growth</t>
  </si>
  <si>
    <t>2% x 3% additional annual growth as products launch</t>
  </si>
  <si>
    <t>Current Market Expansion Scenario (1, 2, 3 or 4)</t>
  </si>
  <si>
    <t>Market Expansion Scenario (Value from DPL)</t>
  </si>
  <si>
    <t>1, 2, 3 or 4</t>
  </si>
  <si>
    <t>See MarketSize Sheet</t>
  </si>
  <si>
    <t>BaseCase</t>
  </si>
  <si>
    <t>1=Worse, 2=Same, 3=Better</t>
  </si>
  <si>
    <t>compared with expectations</t>
  </si>
  <si>
    <t>Results of Three-Year Outcome Studies, 2nd Generation Products</t>
  </si>
  <si>
    <t>2nd Generation Study Uncertainty</t>
  </si>
  <si>
    <t>Adjusted for uncertainty in 2nd Gen Study Results</t>
  </si>
  <si>
    <t xml:space="preserve">  (only applies to scenarios 2 and 4)</t>
  </si>
  <si>
    <t>2nd Generation Study Outcome</t>
  </si>
  <si>
    <t>Worse</t>
  </si>
  <si>
    <t>Same</t>
  </si>
  <si>
    <t>Better</t>
  </si>
  <si>
    <t>Year 2nd-Gen Study Results Available</t>
  </si>
  <si>
    <t>make uncertain</t>
  </si>
  <si>
    <t>Basic Parameters and Results</t>
  </si>
  <si>
    <t>Either date product on market, or 2099 if never</t>
  </si>
  <si>
    <t>Before Joe left for Las Vegas, he managed to pull together several recent market research reports and he developed forecasts of the NeuroPriza market under a few different competitive scenarios. You decide to use these scenarios in your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</si>
</sst>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"/>
    <numFmt numFmtId="166" formatCode="#,##0.0_);[Red]\(#,##0.0\)"/>
    <numFmt numFmtId="167" formatCode="&quot;$&quot;#,##0"/>
    <numFmt numFmtId="168" formatCode="_(* #,##0_);_(* \(#,##0\);_(* &quot;-&quot;??_);_(@_)"/>
    <numFmt numFmtId="169" formatCode="0_);[Red]\(0\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Segoe UI Light"/>
      <family val="2"/>
    </font>
    <font>
      <sz val="10"/>
      <color theme="0"/>
      <name val="Segoe UI Light"/>
      <family val="2"/>
    </font>
    <font>
      <b/>
      <sz val="13"/>
      <color theme="0"/>
      <name val="Segoe UI Light"/>
      <family val="2"/>
    </font>
    <font>
      <sz val="10"/>
      <name val="Segoe UI Light"/>
      <family val="2"/>
    </font>
    <font>
      <b/>
      <sz val="10"/>
      <name val="Segoe UI Light"/>
      <family val="2"/>
    </font>
    <font>
      <b/>
      <sz val="10"/>
      <color theme="0"/>
      <name val="Segoe UI Light"/>
      <family val="2"/>
    </font>
    <font>
      <b/>
      <sz val="8"/>
      <name val="Segoe UI Light"/>
      <family val="2"/>
    </font>
    <font>
      <i/>
      <sz val="10"/>
      <name val="Segoe UI Light"/>
      <family val="2"/>
    </font>
    <font>
      <b/>
      <sz val="11"/>
      <color theme="0"/>
      <name val="Segoe UI Light"/>
      <family val="2"/>
    </font>
    <font>
      <sz val="11"/>
      <color theme="0"/>
      <name val="Segoe UI Light"/>
      <family val="2"/>
    </font>
    <font>
      <b/>
      <sz val="12"/>
      <name val="Segoe UI Light"/>
      <family val="2"/>
    </font>
    <font>
      <sz val="13"/>
      <color theme="0"/>
      <name val="Segoe UI Light"/>
      <family val="2"/>
    </font>
    <font>
      <b/>
      <sz val="12"/>
      <color theme="0"/>
      <name val="Segoe UI Light"/>
      <family val="2"/>
    </font>
    <font>
      <b/>
      <sz val="14"/>
      <color theme="0"/>
      <name val="Segoe UI Light"/>
      <family val="2"/>
    </font>
    <font>
      <sz val="11"/>
      <name val="Segoe UI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DC7A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2" borderId="0" xfId="0" applyFont="1" applyFill="1" applyBorder="1" applyAlignment="1">
      <alignment horizontal="center" wrapText="1"/>
    </xf>
    <xf numFmtId="0" fontId="4" fillId="8" borderId="0" xfId="0" applyFont="1" applyFill="1" applyBorder="1"/>
    <xf numFmtId="0" fontId="4" fillId="8" borderId="0" xfId="0" applyFont="1" applyFill="1" applyBorder="1" applyAlignment="1">
      <alignment horizontal="center"/>
    </xf>
    <xf numFmtId="0" fontId="5" fillId="3" borderId="6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/>
    <xf numFmtId="0" fontId="4" fillId="9" borderId="0" xfId="0" applyFont="1" applyFill="1" applyBorder="1"/>
    <xf numFmtId="0" fontId="6" fillId="8" borderId="0" xfId="0" applyFont="1" applyFill="1"/>
    <xf numFmtId="0" fontId="7" fillId="8" borderId="0" xfId="0" applyFont="1" applyFill="1"/>
    <xf numFmtId="0" fontId="6" fillId="8" borderId="0" xfId="0" applyFont="1" applyFill="1" applyAlignment="1">
      <alignment horizontal="center"/>
    </xf>
    <xf numFmtId="0" fontId="4" fillId="8" borderId="0" xfId="0" applyFont="1" applyFill="1"/>
    <xf numFmtId="0" fontId="6" fillId="9" borderId="0" xfId="0" applyFont="1" applyFill="1"/>
    <xf numFmtId="0" fontId="8" fillId="6" borderId="6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/>
    <xf numFmtId="0" fontId="7" fillId="9" borderId="0" xfId="0" applyFont="1" applyFill="1" applyBorder="1"/>
    <xf numFmtId="0" fontId="6" fillId="9" borderId="0" xfId="0" applyFont="1" applyFill="1" applyBorder="1"/>
    <xf numFmtId="0" fontId="6" fillId="9" borderId="0" xfId="0" applyFont="1" applyFill="1" applyBorder="1" applyAlignment="1">
      <alignment horizontal="center"/>
    </xf>
    <xf numFmtId="0" fontId="7" fillId="9" borderId="0" xfId="0" applyFont="1" applyFill="1"/>
    <xf numFmtId="0" fontId="6" fillId="0" borderId="1" xfId="0" applyFont="1" applyFill="1" applyBorder="1"/>
    <xf numFmtId="166" fontId="7" fillId="9" borderId="0" xfId="0" applyNumberFormat="1" applyFont="1" applyFill="1"/>
    <xf numFmtId="1" fontId="7" fillId="9" borderId="0" xfId="0" applyNumberFormat="1" applyFont="1" applyFill="1"/>
    <xf numFmtId="0" fontId="7" fillId="9" borderId="0" xfId="0" applyFont="1" applyFill="1" applyAlignment="1">
      <alignment horizontal="center"/>
    </xf>
    <xf numFmtId="9" fontId="6" fillId="0" borderId="1" xfId="0" applyNumberFormat="1" applyFont="1" applyFill="1" applyBorder="1"/>
    <xf numFmtId="9" fontId="6" fillId="0" borderId="1" xfId="2" applyFont="1" applyFill="1" applyBorder="1"/>
    <xf numFmtId="167" fontId="6" fillId="0" borderId="1" xfId="0" applyNumberFormat="1" applyFont="1" applyFill="1" applyBorder="1"/>
    <xf numFmtId="0" fontId="6" fillId="8" borderId="0" xfId="0" applyFont="1" applyFill="1" applyBorder="1"/>
    <xf numFmtId="0" fontId="6" fillId="6" borderId="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1" fontId="6" fillId="0" borderId="1" xfId="0" applyNumberFormat="1" applyFont="1" applyFill="1" applyBorder="1"/>
    <xf numFmtId="0" fontId="6" fillId="6" borderId="8" xfId="0" applyFont="1" applyFill="1" applyBorder="1"/>
    <xf numFmtId="0" fontId="6" fillId="6" borderId="7" xfId="0" applyFont="1" applyFill="1" applyBorder="1"/>
    <xf numFmtId="0" fontId="6" fillId="3" borderId="0" xfId="0" applyFont="1" applyFill="1" applyBorder="1"/>
    <xf numFmtId="6" fontId="6" fillId="0" borderId="1" xfId="0" applyNumberFormat="1" applyFont="1" applyFill="1" applyBorder="1"/>
    <xf numFmtId="0" fontId="6" fillId="10" borderId="1" xfId="1" applyNumberFormat="1" applyFont="1" applyFill="1" applyBorder="1"/>
    <xf numFmtId="0" fontId="7" fillId="11" borderId="1" xfId="0" applyFont="1" applyFill="1" applyBorder="1"/>
    <xf numFmtId="0" fontId="7" fillId="0" borderId="1" xfId="0" applyFont="1" applyFill="1" applyBorder="1"/>
    <xf numFmtId="0" fontId="6" fillId="9" borderId="0" xfId="0" applyFont="1" applyFill="1" applyAlignment="1">
      <alignment horizontal="center"/>
    </xf>
    <xf numFmtId="0" fontId="7" fillId="12" borderId="1" xfId="1" applyNumberFormat="1" applyFont="1" applyFill="1" applyBorder="1"/>
    <xf numFmtId="9" fontId="6" fillId="9" borderId="0" xfId="0" applyNumberFormat="1" applyFont="1" applyFill="1"/>
    <xf numFmtId="9" fontId="6" fillId="8" borderId="0" xfId="2" applyFont="1" applyFill="1"/>
    <xf numFmtId="0" fontId="4" fillId="6" borderId="7" xfId="0" applyFont="1" applyFill="1" applyBorder="1" applyAlignment="1">
      <alignment horizontal="center"/>
    </xf>
    <xf numFmtId="9" fontId="6" fillId="9" borderId="0" xfId="2" applyFont="1" applyFill="1" applyBorder="1"/>
    <xf numFmtId="9" fontId="6" fillId="9" borderId="0" xfId="2" applyFont="1" applyFill="1"/>
    <xf numFmtId="0" fontId="9" fillId="9" borderId="17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66" fontId="7" fillId="0" borderId="1" xfId="0" applyNumberFormat="1" applyFont="1" applyFill="1" applyBorder="1"/>
    <xf numFmtId="0" fontId="6" fillId="2" borderId="0" xfId="0" applyFont="1" applyFill="1"/>
    <xf numFmtId="0" fontId="6" fillId="5" borderId="0" xfId="0" applyFont="1" applyFill="1"/>
    <xf numFmtId="0" fontId="6" fillId="4" borderId="0" xfId="0" applyFont="1" applyFill="1"/>
    <xf numFmtId="0" fontId="7" fillId="2" borderId="0" xfId="0" applyFont="1" applyFill="1"/>
    <xf numFmtId="1" fontId="6" fillId="2" borderId="0" xfId="0" applyNumberFormat="1" applyFont="1" applyFill="1"/>
    <xf numFmtId="0" fontId="10" fillId="2" borderId="0" xfId="0" applyFont="1" applyFill="1" applyAlignment="1">
      <alignment horizontal="right"/>
    </xf>
    <xf numFmtId="9" fontId="7" fillId="2" borderId="0" xfId="2" applyFont="1" applyFill="1"/>
    <xf numFmtId="0" fontId="6" fillId="3" borderId="6" xfId="0" applyFont="1" applyFill="1" applyBorder="1"/>
    <xf numFmtId="0" fontId="3" fillId="3" borderId="8" xfId="0" applyFont="1" applyFill="1" applyBorder="1" applyAlignment="1">
      <alignment horizontal="center" wrapText="1"/>
    </xf>
    <xf numFmtId="0" fontId="6" fillId="3" borderId="8" xfId="0" applyFont="1" applyFill="1" applyBorder="1"/>
    <xf numFmtId="0" fontId="6" fillId="3" borderId="7" xfId="0" applyFont="1" applyFill="1" applyBorder="1"/>
    <xf numFmtId="0" fontId="4" fillId="3" borderId="0" xfId="0" applyFont="1" applyFill="1"/>
    <xf numFmtId="0" fontId="11" fillId="3" borderId="0" xfId="0" applyFont="1" applyFill="1"/>
    <xf numFmtId="0" fontId="8" fillId="3" borderId="0" xfId="0" applyFont="1" applyFill="1"/>
    <xf numFmtId="0" fontId="5" fillId="3" borderId="8" xfId="0" applyFont="1" applyFill="1" applyBorder="1"/>
    <xf numFmtId="0" fontId="5" fillId="3" borderId="7" xfId="0" applyFont="1" applyFill="1" applyBorder="1"/>
    <xf numFmtId="0" fontId="5" fillId="3" borderId="0" xfId="0" applyFont="1" applyFill="1"/>
    <xf numFmtId="0" fontId="4" fillId="3" borderId="6" xfId="0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6" fillId="2" borderId="0" xfId="0" quotePrefix="1" applyFont="1" applyFill="1"/>
    <xf numFmtId="6" fontId="6" fillId="2" borderId="0" xfId="0" quotePrefix="1" applyNumberFormat="1" applyFont="1" applyFill="1"/>
    <xf numFmtId="168" fontId="6" fillId="2" borderId="0" xfId="1" applyNumberFormat="1" applyFont="1" applyFill="1"/>
    <xf numFmtId="38" fontId="6" fillId="2" borderId="0" xfId="0" applyNumberFormat="1" applyFont="1" applyFill="1"/>
    <xf numFmtId="168" fontId="6" fillId="2" borderId="0" xfId="0" applyNumberFormat="1" applyFont="1" applyFill="1"/>
    <xf numFmtId="169" fontId="6" fillId="2" borderId="0" xfId="0" applyNumberFormat="1" applyFont="1" applyFill="1"/>
    <xf numFmtId="38" fontId="6" fillId="2" borderId="0" xfId="1" applyNumberFormat="1" applyFont="1" applyFill="1"/>
    <xf numFmtId="0" fontId="12" fillId="3" borderId="6" xfId="0" applyFont="1" applyFill="1" applyBorder="1"/>
    <xf numFmtId="0" fontId="12" fillId="3" borderId="8" xfId="0" applyFont="1" applyFill="1" applyBorder="1"/>
    <xf numFmtId="0" fontId="12" fillId="3" borderId="0" xfId="0" applyFont="1" applyFill="1"/>
    <xf numFmtId="164" fontId="6" fillId="2" borderId="0" xfId="0" applyNumberFormat="1" applyFont="1" applyFill="1"/>
    <xf numFmtId="168" fontId="13" fillId="2" borderId="0" xfId="0" applyNumberFormat="1" applyFont="1" applyFill="1"/>
    <xf numFmtId="0" fontId="6" fillId="0" borderId="0" xfId="0" applyFont="1"/>
    <xf numFmtId="0" fontId="14" fillId="3" borderId="6" xfId="0" applyFont="1" applyFill="1" applyBorder="1"/>
    <xf numFmtId="0" fontId="14" fillId="3" borderId="8" xfId="0" applyFont="1" applyFill="1" applyBorder="1"/>
    <xf numFmtId="0" fontId="14" fillId="3" borderId="7" xfId="0" applyFont="1" applyFill="1" applyBorder="1"/>
    <xf numFmtId="0" fontId="14" fillId="3" borderId="0" xfId="0" applyFont="1" applyFill="1"/>
    <xf numFmtId="0" fontId="13" fillId="2" borderId="0" xfId="0" applyFont="1" applyFill="1" applyAlignment="1">
      <alignment horizontal="center"/>
    </xf>
    <xf numFmtId="9" fontId="6" fillId="2" borderId="0" xfId="2" applyFont="1" applyFill="1"/>
    <xf numFmtId="0" fontId="6" fillId="2" borderId="0" xfId="0" applyFont="1" applyFill="1" applyAlignment="1">
      <alignment horizontal="left"/>
    </xf>
    <xf numFmtId="9" fontId="6" fillId="2" borderId="0" xfId="0" applyNumberFormat="1" applyFont="1" applyFill="1"/>
    <xf numFmtId="0" fontId="7" fillId="0" borderId="3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/>
    <xf numFmtId="0" fontId="11" fillId="6" borderId="6" xfId="0" applyFont="1" applyFill="1" applyBorder="1"/>
    <xf numFmtId="0" fontId="16" fillId="3" borderId="6" xfId="0" applyFont="1" applyFill="1" applyBorder="1"/>
    <xf numFmtId="0" fontId="16" fillId="3" borderId="8" xfId="0" applyFont="1" applyFill="1" applyBorder="1"/>
    <xf numFmtId="0" fontId="17" fillId="9" borderId="0" xfId="0" applyFont="1" applyFill="1"/>
    <xf numFmtId="0" fontId="12" fillId="3" borderId="7" xfId="0" applyFont="1" applyFill="1" applyBorder="1"/>
    <xf numFmtId="0" fontId="17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6" xfId="2" applyNumberFormat="1" applyFont="1" applyFill="1" applyBorder="1"/>
    <xf numFmtId="165" fontId="6" fillId="2" borderId="7" xfId="2" applyNumberFormat="1" applyFont="1" applyFill="1" applyBorder="1"/>
    <xf numFmtId="165" fontId="6" fillId="2" borderId="8" xfId="2" applyNumberFormat="1" applyFont="1" applyFill="1" applyBorder="1"/>
    <xf numFmtId="9" fontId="6" fillId="2" borderId="0" xfId="2" applyFont="1" applyFill="1" applyAlignment="1">
      <alignment horizontal="center"/>
    </xf>
    <xf numFmtId="165" fontId="6" fillId="2" borderId="7" xfId="0" applyNumberFormat="1" applyFont="1" applyFill="1" applyBorder="1"/>
    <xf numFmtId="0" fontId="6" fillId="2" borderId="6" xfId="1" applyNumberFormat="1" applyFont="1" applyFill="1" applyBorder="1"/>
    <xf numFmtId="0" fontId="6" fillId="2" borderId="8" xfId="1" applyNumberFormat="1" applyFont="1" applyFill="1" applyBorder="1"/>
    <xf numFmtId="0" fontId="6" fillId="2" borderId="7" xfId="1" applyNumberFormat="1" applyFont="1" applyFill="1" applyBorder="1"/>
    <xf numFmtId="0" fontId="7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0" fontId="6" fillId="2" borderId="0" xfId="0" applyNumberFormat="1" applyFont="1" applyFill="1"/>
    <xf numFmtId="9" fontId="6" fillId="2" borderId="6" xfId="2" applyFont="1" applyFill="1" applyBorder="1"/>
    <xf numFmtId="9" fontId="6" fillId="2" borderId="8" xfId="2" applyFont="1" applyFill="1" applyBorder="1"/>
    <xf numFmtId="9" fontId="6" fillId="2" borderId="7" xfId="2" applyFont="1" applyFill="1" applyBorder="1"/>
    <xf numFmtId="0" fontId="6" fillId="3" borderId="8" xfId="0" applyFont="1" applyFill="1" applyBorder="1" applyAlignment="1">
      <alignment horizontal="left" indent="1"/>
    </xf>
    <xf numFmtId="0" fontId="4" fillId="3" borderId="0" xfId="0" applyFont="1" applyFill="1" applyAlignment="1">
      <alignment horizontal="center"/>
    </xf>
    <xf numFmtId="0" fontId="11" fillId="3" borderId="6" xfId="0" applyFont="1" applyFill="1" applyBorder="1"/>
    <xf numFmtId="0" fontId="6" fillId="9" borderId="0" xfId="0" applyFont="1" applyFill="1" applyAlignment="1">
      <alignment horizontal="left" indent="1"/>
    </xf>
    <xf numFmtId="0" fontId="6" fillId="9" borderId="0" xfId="0" applyFont="1" applyFill="1" applyAlignment="1"/>
    <xf numFmtId="0" fontId="6" fillId="13" borderId="1" xfId="1" applyNumberFormat="1" applyFont="1" applyFill="1" applyBorder="1"/>
    <xf numFmtId="0" fontId="3" fillId="9" borderId="9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wrapText="1"/>
    </xf>
    <xf numFmtId="0" fontId="3" fillId="9" borderId="11" xfId="0" applyFont="1" applyFill="1" applyBorder="1" applyAlignment="1">
      <alignment horizontal="center" wrapText="1"/>
    </xf>
    <xf numFmtId="0" fontId="3" fillId="9" borderId="12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/>
    </xf>
    <xf numFmtId="0" fontId="3" fillId="9" borderId="13" xfId="0" applyFont="1" applyFill="1" applyBorder="1" applyAlignment="1">
      <alignment horizontal="center" wrapText="1"/>
    </xf>
    <xf numFmtId="0" fontId="3" fillId="9" borderId="14" xfId="0" applyFont="1" applyFill="1" applyBorder="1" applyAlignment="1">
      <alignment horizontal="center" wrapText="1"/>
    </xf>
    <xf numFmtId="0" fontId="3" fillId="9" borderId="15" xfId="0" applyFont="1" applyFill="1" applyBorder="1" applyAlignment="1">
      <alignment horizontal="center" wrapText="1"/>
    </xf>
    <xf numFmtId="0" fontId="3" fillId="9" borderId="16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9821587563005"/>
          <c:y val="0.10732998012360434"/>
          <c:w val="0.71689604276071806"/>
          <c:h val="0.6308908587753328"/>
        </c:manualLayout>
      </c:layout>
      <c:areaChart>
        <c:grouping val="stacked"/>
        <c:varyColors val="0"/>
        <c:ser>
          <c:idx val="0"/>
          <c:order val="0"/>
          <c:tx>
            <c:v>NP Share</c:v>
          </c:tx>
          <c:spPr>
            <a:solidFill>
              <a:schemeClr val="accent5"/>
            </a:solidFill>
            <a:ln w="25400" cap="flat" cmpd="sng" algn="ctr">
              <a:solidFill>
                <a:schemeClr val="accent5">
                  <a:shade val="50000"/>
                </a:schemeClr>
              </a:solidFill>
              <a:prstDash val="solid"/>
            </a:ln>
            <a:effectLst/>
          </c:spPr>
          <c:cat>
            <c:numRef>
              <c:f>'Patient Share Model'!$E$2:$T$2</c:f>
              <c:numCache>
                <c:formatCode>General</c:formatCod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numCache>
            </c:numRef>
          </c:cat>
          <c:val>
            <c:numRef>
              <c:f>'Patient Share Model'!$E$27:$T$27</c:f>
              <c:numCache>
                <c:formatCode>0%</c:formatCode>
                <c:ptCount val="16"/>
                <c:pt idx="0">
                  <c:v>0.5</c:v>
                </c:pt>
                <c:pt idx="1">
                  <c:v>0.32500000000000001</c:v>
                </c:pt>
                <c:pt idx="2">
                  <c:v>0.21125000000000002</c:v>
                </c:pt>
                <c:pt idx="3">
                  <c:v>0.13731250000000003</c:v>
                </c:pt>
                <c:pt idx="4">
                  <c:v>8.925312500000003E-2</c:v>
                </c:pt>
                <c:pt idx="5">
                  <c:v>5.8014531250000022E-2</c:v>
                </c:pt>
                <c:pt idx="6">
                  <c:v>3.7709445312500013E-2</c:v>
                </c:pt>
                <c:pt idx="7">
                  <c:v>2.4511139453125011E-2</c:v>
                </c:pt>
                <c:pt idx="8">
                  <c:v>1.5932240644531259E-2</c:v>
                </c:pt>
                <c:pt idx="9">
                  <c:v>1.0355956418945319E-2</c:v>
                </c:pt>
                <c:pt idx="10">
                  <c:v>6.7313716723144575E-3</c:v>
                </c:pt>
                <c:pt idx="11">
                  <c:v>4.3753915870043975E-3</c:v>
                </c:pt>
                <c:pt idx="12">
                  <c:v>2.8440045315528584E-3</c:v>
                </c:pt>
                <c:pt idx="13">
                  <c:v>1.8486029455093581E-3</c:v>
                </c:pt>
                <c:pt idx="14">
                  <c:v>1.2015919145810829E-3</c:v>
                </c:pt>
                <c:pt idx="15">
                  <c:v>7.8103474447770388E-4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1-4774-A0E8-962756984535}"/>
            </c:ext>
          </c:extLst>
        </c:ser>
        <c:ser>
          <c:idx val="1"/>
          <c:order val="1"/>
          <c:tx>
            <c:v>SBP Share</c:v>
          </c:tx>
          <c:spPr>
            <a:solidFill>
              <a:schemeClr val="accent6"/>
            </a:solidFill>
            <a:ln w="25400" cap="flat" cmpd="sng" algn="ctr">
              <a:solidFill>
                <a:schemeClr val="accent6">
                  <a:shade val="50000"/>
                </a:schemeClr>
              </a:solidFill>
              <a:prstDash val="solid"/>
            </a:ln>
            <a:effectLst/>
          </c:spPr>
          <c:cat>
            <c:numRef>
              <c:f>'Patient Share Model'!$E$2:$T$2</c:f>
              <c:numCache>
                <c:formatCode>General</c:formatCod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numCache>
            </c:numRef>
          </c:cat>
          <c:val>
            <c:numRef>
              <c:f>'Patient Share Model'!$E$29:$T$29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1-4774-A0E8-962756984535}"/>
            </c:ext>
          </c:extLst>
        </c:ser>
        <c:ser>
          <c:idx val="2"/>
          <c:order val="2"/>
          <c:tx>
            <c:v>Other 2nd Gen Share</c:v>
          </c:tx>
          <c:spPr>
            <a:solidFill>
              <a:schemeClr val="accent4"/>
            </a:solidFill>
            <a:ln w="25400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cat>
            <c:numRef>
              <c:f>'Patient Share Model'!$E$2:$T$2</c:f>
              <c:numCache>
                <c:formatCode>General</c:formatCod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numCache>
            </c:numRef>
          </c:cat>
          <c:val>
            <c:numRef>
              <c:f>'Patient Share Model'!$E$30:$T$30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1-4774-A0E8-962756984535}"/>
            </c:ext>
          </c:extLst>
        </c:ser>
        <c:ser>
          <c:idx val="3"/>
          <c:order val="3"/>
          <c:tx>
            <c:v>3rd Gen Share</c:v>
          </c:tx>
          <c:spPr>
            <a:solidFill>
              <a:schemeClr val="accent3"/>
            </a:solidFill>
            <a:ln w="25400" cap="flat" cmpd="sng" algn="ctr">
              <a:solidFill>
                <a:schemeClr val="accent3">
                  <a:shade val="50000"/>
                </a:schemeClr>
              </a:solidFill>
              <a:prstDash val="solid"/>
            </a:ln>
            <a:effectLst/>
          </c:spPr>
          <c:cat>
            <c:numRef>
              <c:f>'Patient Share Model'!$E$2:$T$2</c:f>
              <c:numCache>
                <c:formatCode>General</c:formatCod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</c:numCache>
            </c:numRef>
          </c:cat>
          <c:val>
            <c:numRef>
              <c:f>'Patient Share Model'!$E$31:$T$31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11-4774-A0E8-962756984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228432"/>
        <c:axId val="518230000"/>
      </c:areaChart>
      <c:catAx>
        <c:axId val="51822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51823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2300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182284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937611109113642"/>
          <c:y val="0.91099586373692809"/>
          <c:w val="0.75038163608544362"/>
          <c:h val="7.06806282722513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152400</xdr:rowOff>
    </xdr:from>
    <xdr:to>
      <xdr:col>6</xdr:col>
      <xdr:colOff>85725</xdr:colOff>
      <xdr:row>60</xdr:row>
      <xdr:rowOff>66675</xdr:rowOff>
    </xdr:to>
    <xdr:graphicFrame macro="">
      <xdr:nvGraphicFramePr>
        <xdr:cNvPr id="2071" name="Chart 3">
          <a:extLst>
            <a:ext uri="{FF2B5EF4-FFF2-40B4-BE49-F238E27FC236}">
              <a16:creationId xmlns:a16="http://schemas.microsoft.com/office/drawing/2014/main" id="{00000000-0008-0000-02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showGridLines="0" tabSelected="1" zoomScaleNormal="100" workbookViewId="0"/>
  </sheetViews>
  <sheetFormatPr defaultColWidth="0" defaultRowHeight="14.25" zeroHeight="1" x14ac:dyDescent="0.25"/>
  <cols>
    <col min="1" max="1" width="3.7109375" style="8" customWidth="1"/>
    <col min="2" max="2" width="57.7109375" style="8" customWidth="1"/>
    <col min="3" max="3" width="14.5703125" style="8" customWidth="1"/>
    <col min="4" max="4" width="13.42578125" style="8" customWidth="1"/>
    <col min="5" max="5" width="4" style="11" customWidth="1"/>
    <col min="6" max="16384" width="0" style="8" hidden="1"/>
  </cols>
  <sheetData>
    <row r="1" spans="1:10" s="2" customFormat="1" ht="13.5" customHeight="1" x14ac:dyDescent="0.25">
      <c r="C1" s="3"/>
    </row>
    <row r="2" spans="1:10" s="7" customFormat="1" ht="18" customHeight="1" x14ac:dyDescent="0.35">
      <c r="A2" s="2"/>
      <c r="B2" s="99" t="s">
        <v>165</v>
      </c>
      <c r="C2" s="5"/>
      <c r="D2" s="6"/>
      <c r="E2" s="2"/>
    </row>
    <row r="3" spans="1:10" s="12" customFormat="1" ht="6" customHeight="1" x14ac:dyDescent="0.25">
      <c r="A3" s="8"/>
      <c r="B3" s="9"/>
      <c r="C3" s="10"/>
      <c r="D3" s="8"/>
      <c r="E3" s="11"/>
    </row>
    <row r="4" spans="1:10" s="17" customFormat="1" ht="16.5" x14ac:dyDescent="0.3">
      <c r="A4" s="2"/>
      <c r="B4" s="98" t="s">
        <v>20</v>
      </c>
      <c r="C4" s="14"/>
      <c r="D4" s="15"/>
      <c r="E4" s="2"/>
      <c r="F4" s="16" t="s">
        <v>62</v>
      </c>
    </row>
    <row r="5" spans="1:10" s="12" customFormat="1" x14ac:dyDescent="0.25">
      <c r="A5" s="8"/>
      <c r="B5" s="90"/>
      <c r="C5" s="91"/>
      <c r="D5" s="92"/>
      <c r="E5" s="11"/>
      <c r="F5" s="19"/>
    </row>
    <row r="6" spans="1:10" s="12" customFormat="1" x14ac:dyDescent="0.25">
      <c r="A6" s="8"/>
      <c r="B6" s="93" t="s">
        <v>0</v>
      </c>
      <c r="C6" s="91" t="s">
        <v>1</v>
      </c>
      <c r="D6" s="20">
        <v>2017</v>
      </c>
      <c r="E6" s="11"/>
      <c r="H6" s="21"/>
      <c r="J6" s="22"/>
    </row>
    <row r="7" spans="1:10" s="12" customFormat="1" x14ac:dyDescent="0.25">
      <c r="A7" s="8"/>
      <c r="B7" s="93" t="s">
        <v>2</v>
      </c>
      <c r="C7" s="91" t="s">
        <v>1</v>
      </c>
      <c r="D7" s="20">
        <f>Curr_Year+15</f>
        <v>2032</v>
      </c>
      <c r="E7" s="11"/>
      <c r="H7" s="19"/>
      <c r="I7" s="23"/>
      <c r="J7" s="22"/>
    </row>
    <row r="8" spans="1:10" s="12" customFormat="1" x14ac:dyDescent="0.25">
      <c r="A8" s="8"/>
      <c r="B8" s="93" t="s">
        <v>5</v>
      </c>
      <c r="C8" s="91" t="s">
        <v>4</v>
      </c>
      <c r="D8" s="24">
        <v>0.12</v>
      </c>
      <c r="E8" s="11"/>
    </row>
    <row r="9" spans="1:10" s="12" customFormat="1" x14ac:dyDescent="0.25">
      <c r="A9" s="8"/>
      <c r="B9" s="93" t="s">
        <v>14</v>
      </c>
      <c r="C9" s="91" t="s">
        <v>4</v>
      </c>
      <c r="D9" s="24">
        <v>0.1</v>
      </c>
      <c r="E9" s="11"/>
    </row>
    <row r="10" spans="1:10" s="12" customFormat="1" x14ac:dyDescent="0.25">
      <c r="A10" s="8"/>
      <c r="B10" s="93" t="s">
        <v>3</v>
      </c>
      <c r="C10" s="91" t="s">
        <v>4</v>
      </c>
      <c r="D10" s="25">
        <v>0.4</v>
      </c>
      <c r="E10" s="11"/>
    </row>
    <row r="11" spans="1:10" s="12" customFormat="1" x14ac:dyDescent="0.25">
      <c r="A11" s="8"/>
      <c r="B11" s="93" t="s">
        <v>18</v>
      </c>
      <c r="C11" s="91" t="s">
        <v>19</v>
      </c>
      <c r="D11" s="26">
        <v>1000</v>
      </c>
      <c r="E11" s="11"/>
    </row>
    <row r="12" spans="1:10" s="12" customFormat="1" x14ac:dyDescent="0.25">
      <c r="A12" s="8"/>
      <c r="B12" s="93" t="s">
        <v>114</v>
      </c>
      <c r="C12" s="91" t="s">
        <v>4</v>
      </c>
      <c r="D12" s="24">
        <v>0.03</v>
      </c>
      <c r="E12" s="11"/>
    </row>
    <row r="13" spans="1:10" s="12" customFormat="1" x14ac:dyDescent="0.25">
      <c r="A13" s="8"/>
      <c r="B13" s="93" t="s">
        <v>101</v>
      </c>
      <c r="C13" s="91" t="s">
        <v>4</v>
      </c>
      <c r="D13" s="24">
        <v>0.1</v>
      </c>
      <c r="E13" s="11"/>
    </row>
    <row r="14" spans="1:10" s="12" customFormat="1" x14ac:dyDescent="0.25">
      <c r="A14" s="8"/>
      <c r="B14" s="94" t="s">
        <v>102</v>
      </c>
      <c r="C14" s="95" t="s">
        <v>4</v>
      </c>
      <c r="D14" s="24">
        <v>0.15</v>
      </c>
      <c r="E14" s="11"/>
    </row>
    <row r="15" spans="1:10" x14ac:dyDescent="0.25">
      <c r="C15" s="10"/>
      <c r="D15" s="10"/>
    </row>
    <row r="16" spans="1:10" s="17" customFormat="1" ht="16.5" x14ac:dyDescent="0.3">
      <c r="A16" s="27"/>
      <c r="B16" s="98" t="s">
        <v>61</v>
      </c>
      <c r="C16" s="28"/>
      <c r="D16" s="29"/>
      <c r="E16" s="2"/>
    </row>
    <row r="17" spans="1:10" s="12" customFormat="1" x14ac:dyDescent="0.25">
      <c r="A17" s="8"/>
      <c r="B17" s="90"/>
      <c r="C17" s="91"/>
      <c r="D17" s="96"/>
      <c r="E17" s="11"/>
    </row>
    <row r="18" spans="1:10" s="12" customFormat="1" x14ac:dyDescent="0.25">
      <c r="A18" s="8"/>
      <c r="B18" s="93" t="s">
        <v>16</v>
      </c>
      <c r="C18" s="91" t="s">
        <v>17</v>
      </c>
      <c r="D18" s="20">
        <v>500</v>
      </c>
      <c r="E18" s="11"/>
      <c r="H18" s="19"/>
      <c r="I18" s="23"/>
      <c r="J18" s="22"/>
    </row>
    <row r="19" spans="1:10" s="12" customFormat="1" x14ac:dyDescent="0.25">
      <c r="A19" s="8"/>
      <c r="B19" s="93" t="s">
        <v>22</v>
      </c>
      <c r="C19" s="91" t="s">
        <v>4</v>
      </c>
      <c r="D19" s="24">
        <v>0.05</v>
      </c>
      <c r="E19" s="11"/>
      <c r="H19" s="19"/>
      <c r="I19" s="23"/>
      <c r="J19" s="22"/>
    </row>
    <row r="20" spans="1:10" s="12" customFormat="1" x14ac:dyDescent="0.25">
      <c r="A20" s="8"/>
      <c r="B20" s="93"/>
      <c r="C20" s="97"/>
      <c r="D20" s="92"/>
      <c r="E20" s="11"/>
    </row>
    <row r="21" spans="1:10" s="12" customFormat="1" x14ac:dyDescent="0.25">
      <c r="A21" s="8"/>
      <c r="B21" s="93" t="s">
        <v>15</v>
      </c>
      <c r="C21" s="91" t="s">
        <v>4</v>
      </c>
      <c r="D21" s="24">
        <v>0.5</v>
      </c>
      <c r="E21" s="11"/>
    </row>
    <row r="22" spans="1:10" s="12" customFormat="1" x14ac:dyDescent="0.25">
      <c r="A22" s="8"/>
      <c r="B22" s="93" t="s">
        <v>66</v>
      </c>
      <c r="C22" s="91" t="s">
        <v>1</v>
      </c>
      <c r="D22" s="31">
        <v>2018</v>
      </c>
      <c r="E22" s="11"/>
      <c r="F22" s="12" t="s">
        <v>59</v>
      </c>
    </row>
    <row r="23" spans="1:10" s="12" customFormat="1" x14ac:dyDescent="0.25">
      <c r="A23" s="8"/>
      <c r="B23" s="93" t="s">
        <v>67</v>
      </c>
      <c r="C23" s="91" t="s">
        <v>4</v>
      </c>
      <c r="D23" s="24">
        <v>0.35</v>
      </c>
      <c r="E23" s="11"/>
    </row>
    <row r="24" spans="1:10" s="12" customFormat="1" x14ac:dyDescent="0.25">
      <c r="A24" s="8"/>
      <c r="B24" s="93"/>
      <c r="C24" s="97"/>
      <c r="D24" s="92"/>
      <c r="E24" s="11"/>
    </row>
    <row r="25" spans="1:10" s="12" customFormat="1" x14ac:dyDescent="0.25">
      <c r="A25" s="8"/>
      <c r="B25" s="93" t="s">
        <v>68</v>
      </c>
      <c r="C25" s="91" t="s">
        <v>4</v>
      </c>
      <c r="D25" s="24">
        <v>0</v>
      </c>
      <c r="E25" s="11"/>
      <c r="F25" s="12" t="s">
        <v>78</v>
      </c>
    </row>
    <row r="26" spans="1:10" s="12" customFormat="1" x14ac:dyDescent="0.25">
      <c r="A26" s="8"/>
      <c r="B26" s="94" t="s">
        <v>69</v>
      </c>
      <c r="C26" s="95" t="s">
        <v>1</v>
      </c>
      <c r="D26" s="124">
        <f>IF(AND(DPL_DLCM=1, DPL_InitDec=2,DPL_SBPYr=2099),NP_Decline_Yr+2,2099)</f>
        <v>2099</v>
      </c>
      <c r="E26" s="11"/>
      <c r="F26" s="12" t="s">
        <v>71</v>
      </c>
    </row>
    <row r="27" spans="1:10" x14ac:dyDescent="0.25">
      <c r="D27" s="10"/>
      <c r="F27" s="9" t="s">
        <v>81</v>
      </c>
    </row>
    <row r="28" spans="1:10" s="34" customFormat="1" ht="16.5" x14ac:dyDescent="0.3">
      <c r="A28" s="27"/>
      <c r="B28" s="98" t="s">
        <v>28</v>
      </c>
      <c r="C28" s="32"/>
      <c r="D28" s="33"/>
      <c r="E28" s="2"/>
    </row>
    <row r="29" spans="1:10" s="12" customFormat="1" x14ac:dyDescent="0.25">
      <c r="A29" s="8"/>
      <c r="B29" s="90"/>
      <c r="C29" s="97"/>
      <c r="D29" s="92"/>
      <c r="E29" s="11"/>
    </row>
    <row r="30" spans="1:10" s="12" customFormat="1" x14ac:dyDescent="0.25">
      <c r="A30" s="8"/>
      <c r="B30" s="93" t="s">
        <v>29</v>
      </c>
      <c r="C30" s="91" t="s">
        <v>4</v>
      </c>
      <c r="D30" s="24">
        <v>0.75</v>
      </c>
      <c r="E30" s="11"/>
      <c r="F30" s="12" t="s">
        <v>43</v>
      </c>
    </row>
    <row r="31" spans="1:10" s="12" customFormat="1" x14ac:dyDescent="0.25">
      <c r="A31" s="8"/>
      <c r="B31" s="93" t="s">
        <v>65</v>
      </c>
      <c r="C31" s="91" t="s">
        <v>4</v>
      </c>
      <c r="D31" s="24">
        <v>0.5</v>
      </c>
      <c r="E31" s="11"/>
    </row>
    <row r="32" spans="1:10" s="12" customFormat="1" x14ac:dyDescent="0.25">
      <c r="A32" s="8"/>
      <c r="B32" s="93" t="s">
        <v>63</v>
      </c>
      <c r="C32" s="91" t="s">
        <v>4</v>
      </c>
      <c r="D32" s="24">
        <v>0.5</v>
      </c>
      <c r="E32" s="11"/>
      <c r="F32" s="12" t="s">
        <v>64</v>
      </c>
    </row>
    <row r="33" spans="1:6" s="12" customFormat="1" x14ac:dyDescent="0.25">
      <c r="A33" s="8"/>
      <c r="B33" s="93" t="s">
        <v>45</v>
      </c>
      <c r="C33" s="91" t="s">
        <v>4</v>
      </c>
      <c r="D33" s="24">
        <v>0.25</v>
      </c>
      <c r="E33" s="11"/>
      <c r="F33" s="12" t="s">
        <v>54</v>
      </c>
    </row>
    <row r="34" spans="1:6" s="12" customFormat="1" x14ac:dyDescent="0.25">
      <c r="A34" s="8"/>
      <c r="B34" s="93" t="s">
        <v>47</v>
      </c>
      <c r="C34" s="91" t="s">
        <v>4</v>
      </c>
      <c r="D34" s="24">
        <v>0.05</v>
      </c>
      <c r="E34" s="11"/>
      <c r="F34" s="12" t="s">
        <v>46</v>
      </c>
    </row>
    <row r="35" spans="1:6" s="12" customFormat="1" x14ac:dyDescent="0.25">
      <c r="A35" s="8"/>
      <c r="B35" s="93" t="s">
        <v>48</v>
      </c>
      <c r="C35" s="91" t="s">
        <v>19</v>
      </c>
      <c r="D35" s="35">
        <v>1600</v>
      </c>
      <c r="E35" s="11"/>
    </row>
    <row r="36" spans="1:6" s="12" customFormat="1" x14ac:dyDescent="0.25">
      <c r="A36" s="8"/>
      <c r="B36" s="94" t="s">
        <v>53</v>
      </c>
      <c r="C36" s="95" t="s">
        <v>19</v>
      </c>
      <c r="D36" s="35">
        <v>10000000</v>
      </c>
      <c r="E36" s="11"/>
      <c r="F36" s="12" t="s">
        <v>55</v>
      </c>
    </row>
    <row r="37" spans="1:6" x14ac:dyDescent="0.25">
      <c r="C37" s="10"/>
      <c r="D37" s="10"/>
    </row>
    <row r="38" spans="1:6" s="17" customFormat="1" ht="16.5" x14ac:dyDescent="0.3">
      <c r="A38" s="27"/>
      <c r="B38" s="98" t="s">
        <v>30</v>
      </c>
      <c r="C38" s="32"/>
      <c r="D38" s="33"/>
      <c r="E38" s="2"/>
    </row>
    <row r="39" spans="1:6" s="12" customFormat="1" x14ac:dyDescent="0.25">
      <c r="A39" s="8"/>
      <c r="B39" s="90"/>
      <c r="C39" s="97"/>
      <c r="D39" s="92"/>
      <c r="E39" s="11"/>
    </row>
    <row r="40" spans="1:6" s="12" customFormat="1" x14ac:dyDescent="0.25">
      <c r="A40" s="8"/>
      <c r="B40" s="93" t="s">
        <v>44</v>
      </c>
      <c r="C40" s="91" t="s">
        <v>4</v>
      </c>
      <c r="D40" s="24">
        <v>0.8</v>
      </c>
      <c r="E40" s="11"/>
      <c r="F40" s="12" t="s">
        <v>43</v>
      </c>
    </row>
    <row r="41" spans="1:6" s="12" customFormat="1" x14ac:dyDescent="0.25">
      <c r="A41" s="8"/>
      <c r="B41" s="93" t="s">
        <v>85</v>
      </c>
      <c r="C41" s="91" t="s">
        <v>84</v>
      </c>
      <c r="D41" s="31">
        <v>5</v>
      </c>
      <c r="E41" s="11"/>
      <c r="F41" s="12" t="s">
        <v>86</v>
      </c>
    </row>
    <row r="42" spans="1:6" s="12" customFormat="1" x14ac:dyDescent="0.25">
      <c r="A42" s="8"/>
      <c r="B42" s="93" t="s">
        <v>27</v>
      </c>
      <c r="C42" s="91" t="s">
        <v>1</v>
      </c>
      <c r="D42" s="36">
        <v>2022</v>
      </c>
      <c r="E42" s="11"/>
      <c r="F42" s="12" t="s">
        <v>164</v>
      </c>
    </row>
    <row r="43" spans="1:6" s="12" customFormat="1" x14ac:dyDescent="0.25">
      <c r="A43" s="8"/>
      <c r="B43" s="94" t="s">
        <v>49</v>
      </c>
      <c r="C43" s="95" t="s">
        <v>1</v>
      </c>
      <c r="D43" s="36">
        <v>2024</v>
      </c>
      <c r="E43" s="11"/>
      <c r="F43" s="12" t="s">
        <v>164</v>
      </c>
    </row>
    <row r="44" spans="1:6" x14ac:dyDescent="0.25">
      <c r="C44" s="10"/>
      <c r="D44" s="10"/>
    </row>
    <row r="45" spans="1:6" x14ac:dyDescent="0.25">
      <c r="C45" s="10"/>
      <c r="D45" s="10"/>
    </row>
    <row r="46" spans="1:6" s="17" customFormat="1" ht="16.5" x14ac:dyDescent="0.3">
      <c r="A46" s="27"/>
      <c r="B46" s="98" t="s">
        <v>21</v>
      </c>
      <c r="C46" s="28"/>
      <c r="D46" s="33"/>
      <c r="E46" s="2"/>
    </row>
    <row r="47" spans="1:6" s="12" customFormat="1" x14ac:dyDescent="0.25">
      <c r="A47" s="8"/>
      <c r="B47" s="90"/>
      <c r="C47" s="91"/>
      <c r="D47" s="92"/>
      <c r="E47" s="11"/>
    </row>
    <row r="48" spans="1:6" s="12" customFormat="1" x14ac:dyDescent="0.25">
      <c r="A48" s="8"/>
      <c r="B48" s="93" t="s">
        <v>76</v>
      </c>
      <c r="C48" s="91" t="s">
        <v>7</v>
      </c>
      <c r="D48" s="37">
        <v>2</v>
      </c>
      <c r="E48" s="11"/>
      <c r="F48" s="12" t="s">
        <v>77</v>
      </c>
    </row>
    <row r="49" spans="1:8" s="12" customFormat="1" x14ac:dyDescent="0.25">
      <c r="A49" s="8"/>
      <c r="B49" s="94" t="s">
        <v>23</v>
      </c>
      <c r="C49" s="95" t="s">
        <v>6</v>
      </c>
      <c r="D49" s="37">
        <v>0</v>
      </c>
      <c r="E49" s="11"/>
      <c r="F49" s="12" t="s">
        <v>24</v>
      </c>
    </row>
    <row r="50" spans="1:8" x14ac:dyDescent="0.25">
      <c r="C50" s="10"/>
    </row>
    <row r="51" spans="1:8" s="34" customFormat="1" x14ac:dyDescent="0.25">
      <c r="A51" s="2"/>
      <c r="B51" s="13" t="s">
        <v>25</v>
      </c>
      <c r="C51" s="14"/>
      <c r="D51" s="15"/>
      <c r="E51" s="2"/>
    </row>
    <row r="52" spans="1:8" s="12" customFormat="1" x14ac:dyDescent="0.25">
      <c r="A52" s="8"/>
      <c r="B52" s="90"/>
      <c r="C52" s="91"/>
      <c r="D52" s="92"/>
      <c r="E52" s="11"/>
    </row>
    <row r="53" spans="1:8" s="12" customFormat="1" x14ac:dyDescent="0.25">
      <c r="A53" s="8"/>
      <c r="B53" s="93" t="s">
        <v>56</v>
      </c>
      <c r="C53" s="91" t="s">
        <v>6</v>
      </c>
      <c r="D53" s="38">
        <v>0</v>
      </c>
      <c r="E53" s="11"/>
      <c r="F53" s="12" t="s">
        <v>24</v>
      </c>
    </row>
    <row r="54" spans="1:8" s="12" customFormat="1" x14ac:dyDescent="0.25">
      <c r="A54" s="8"/>
      <c r="B54" s="94" t="s">
        <v>57</v>
      </c>
      <c r="C54" s="95" t="s">
        <v>6</v>
      </c>
      <c r="D54" s="38">
        <v>0</v>
      </c>
      <c r="E54" s="11"/>
      <c r="F54" s="12" t="s">
        <v>24</v>
      </c>
    </row>
    <row r="55" spans="1:8" x14ac:dyDescent="0.25">
      <c r="C55" s="10"/>
    </row>
    <row r="56" spans="1:8" s="17" customFormat="1" ht="16.5" x14ac:dyDescent="0.3">
      <c r="A56" s="27"/>
      <c r="B56" s="98" t="s">
        <v>156</v>
      </c>
      <c r="C56" s="28"/>
      <c r="D56" s="33"/>
      <c r="E56" s="2"/>
    </row>
    <row r="57" spans="1:8" s="12" customFormat="1" x14ac:dyDescent="0.25">
      <c r="A57" s="8"/>
      <c r="B57" s="90"/>
      <c r="C57" s="91"/>
      <c r="D57" s="92"/>
      <c r="E57" s="11"/>
    </row>
    <row r="58" spans="1:8" s="12" customFormat="1" x14ac:dyDescent="0.25">
      <c r="A58" s="8"/>
      <c r="B58" s="94" t="s">
        <v>155</v>
      </c>
      <c r="C58" s="95"/>
      <c r="D58" s="38">
        <v>3</v>
      </c>
      <c r="E58" s="11"/>
      <c r="F58" s="12" t="s">
        <v>153</v>
      </c>
    </row>
    <row r="59" spans="1:8" x14ac:dyDescent="0.25">
      <c r="C59" s="10"/>
      <c r="F59" s="8" t="s">
        <v>154</v>
      </c>
    </row>
    <row r="60" spans="1:8" s="17" customFormat="1" ht="16.5" x14ac:dyDescent="0.3">
      <c r="A60" s="2"/>
      <c r="B60" s="98" t="s">
        <v>8</v>
      </c>
      <c r="C60" s="14"/>
      <c r="D60" s="15"/>
      <c r="E60" s="2"/>
      <c r="F60" s="18"/>
      <c r="G60" s="18"/>
      <c r="H60" s="18"/>
    </row>
    <row r="61" spans="1:8" s="12" customFormat="1" x14ac:dyDescent="0.25">
      <c r="A61" s="8"/>
      <c r="B61" s="90"/>
      <c r="C61" s="91"/>
      <c r="D61" s="92"/>
      <c r="E61" s="11"/>
      <c r="F61" s="39"/>
      <c r="G61" s="39"/>
      <c r="H61" s="39"/>
    </row>
    <row r="62" spans="1:8" s="12" customFormat="1" x14ac:dyDescent="0.25">
      <c r="A62" s="8"/>
      <c r="B62" s="93" t="s">
        <v>26</v>
      </c>
      <c r="C62" s="91" t="s">
        <v>1</v>
      </c>
      <c r="D62" s="38">
        <v>2099</v>
      </c>
      <c r="E62" s="11"/>
      <c r="F62" s="12" t="s">
        <v>128</v>
      </c>
    </row>
    <row r="63" spans="1:8" s="12" customFormat="1" x14ac:dyDescent="0.25">
      <c r="A63" s="8"/>
      <c r="B63" s="93"/>
      <c r="C63" s="97"/>
      <c r="D63" s="92"/>
      <c r="E63" s="11"/>
    </row>
    <row r="64" spans="1:8" s="12" customFormat="1" x14ac:dyDescent="0.25">
      <c r="A64" s="8"/>
      <c r="B64" s="94" t="s">
        <v>149</v>
      </c>
      <c r="C64" s="95" t="s">
        <v>150</v>
      </c>
      <c r="D64" s="40">
        <v>1</v>
      </c>
      <c r="E64" s="11"/>
      <c r="F64" s="41" t="s">
        <v>151</v>
      </c>
      <c r="G64" s="41"/>
      <c r="H64" s="41"/>
    </row>
    <row r="65" spans="1:8" x14ac:dyDescent="0.25">
      <c r="C65" s="10"/>
      <c r="D65" s="10"/>
      <c r="F65" s="42"/>
      <c r="G65" s="42"/>
      <c r="H65" s="42"/>
    </row>
    <row r="66" spans="1:8" s="17" customFormat="1" ht="16.5" x14ac:dyDescent="0.3">
      <c r="A66" s="27"/>
      <c r="B66" s="98" t="s">
        <v>58</v>
      </c>
      <c r="C66" s="14"/>
      <c r="D66" s="43"/>
      <c r="E66" s="2"/>
      <c r="F66" s="44"/>
      <c r="G66" s="44"/>
      <c r="H66" s="44"/>
    </row>
    <row r="67" spans="1:8" s="12" customFormat="1" x14ac:dyDescent="0.25">
      <c r="A67" s="8"/>
      <c r="B67" s="90"/>
      <c r="C67" s="91"/>
      <c r="D67" s="30"/>
      <c r="E67" s="11"/>
      <c r="F67" s="45"/>
      <c r="G67" s="45"/>
      <c r="H67" s="45"/>
    </row>
    <row r="68" spans="1:8" s="12" customFormat="1" x14ac:dyDescent="0.25">
      <c r="A68" s="8"/>
      <c r="B68" s="93" t="s">
        <v>166</v>
      </c>
      <c r="C68" s="91"/>
      <c r="D68" s="30"/>
      <c r="E68" s="11"/>
    </row>
    <row r="69" spans="1:8" s="12" customFormat="1" x14ac:dyDescent="0.25">
      <c r="A69" s="8"/>
      <c r="B69" s="93"/>
      <c r="C69" s="91"/>
      <c r="D69" s="46"/>
      <c r="E69" s="11"/>
    </row>
    <row r="70" spans="1:8" s="12" customFormat="1" x14ac:dyDescent="0.25">
      <c r="A70" s="8"/>
      <c r="B70" s="93" t="s">
        <v>60</v>
      </c>
      <c r="C70" s="91"/>
      <c r="D70" s="47">
        <f>IF(DPL_2GenAvail,Yr_2Gen,2099)</f>
        <v>2099</v>
      </c>
      <c r="E70" s="11"/>
    </row>
    <row r="71" spans="1:8" s="12" customFormat="1" x14ac:dyDescent="0.25">
      <c r="A71" s="8"/>
      <c r="B71" s="93" t="s">
        <v>70</v>
      </c>
      <c r="C71" s="91"/>
      <c r="D71" s="47">
        <f>IF(DPL_3GenAvail,Yr_3Gen,2099)</f>
        <v>2099</v>
      </c>
      <c r="E71" s="11"/>
    </row>
    <row r="72" spans="1:8" s="12" customFormat="1" x14ac:dyDescent="0.25">
      <c r="A72" s="8"/>
      <c r="B72" s="93" t="s">
        <v>74</v>
      </c>
      <c r="C72" s="91"/>
      <c r="D72" s="47">
        <f>IF(AND(DPL_SBPYr=2099,DPL_2GenAvail=0,DPL_3GenAvail=0),2099,MIN(DPL_SBPYr,D70,D71))</f>
        <v>2099</v>
      </c>
      <c r="E72" s="11"/>
      <c r="F72" s="12" t="s">
        <v>72</v>
      </c>
    </row>
    <row r="73" spans="1:8" s="12" customFormat="1" x14ac:dyDescent="0.25">
      <c r="A73" s="8"/>
      <c r="B73" s="94" t="s">
        <v>163</v>
      </c>
      <c r="C73" s="95"/>
      <c r="D73" s="47">
        <f>IF(AND(DPL_SBPYr=2099,Yr_2Gen_avail=2099),2099,3+MIN(DPL_SBPYr,Yr_2Gen_avail))</f>
        <v>2099</v>
      </c>
      <c r="E73" s="11"/>
    </row>
    <row r="74" spans="1:8" x14ac:dyDescent="0.25">
      <c r="C74" s="10"/>
      <c r="F74" s="8" t="s">
        <v>73</v>
      </c>
    </row>
    <row r="75" spans="1:8" s="17" customFormat="1" ht="16.5" x14ac:dyDescent="0.3">
      <c r="A75" s="2"/>
      <c r="B75" s="98" t="s">
        <v>9</v>
      </c>
      <c r="C75" s="14"/>
      <c r="D75" s="15"/>
      <c r="E75" s="2"/>
    </row>
    <row r="76" spans="1:8" s="12" customFormat="1" x14ac:dyDescent="0.25">
      <c r="A76" s="8"/>
      <c r="B76" s="90"/>
      <c r="C76" s="91"/>
      <c r="D76" s="92"/>
      <c r="E76" s="11"/>
    </row>
    <row r="77" spans="1:8" s="12" customFormat="1" x14ac:dyDescent="0.25">
      <c r="A77" s="8"/>
      <c r="B77" s="94" t="s">
        <v>10</v>
      </c>
      <c r="C77" s="95" t="s">
        <v>11</v>
      </c>
      <c r="D77" s="48">
        <f>'Cash Flow'!E49</f>
        <v>332.20065332961553</v>
      </c>
      <c r="E77" s="11"/>
    </row>
    <row r="78" spans="1:8" ht="21.75" customHeight="1" x14ac:dyDescent="0.25">
      <c r="C78" s="10"/>
    </row>
    <row r="79" spans="1:8" s="12" customFormat="1" hidden="1" x14ac:dyDescent="0.25">
      <c r="A79" s="8"/>
      <c r="E79" s="11"/>
    </row>
    <row r="80" spans="1:8" x14ac:dyDescent="0.25"/>
    <row r="81" x14ac:dyDescent="0.25"/>
  </sheetData>
  <phoneticPr fontId="2" type="noConversion"/>
  <pageMargins left="0.75" right="0.75" top="1" bottom="1" header="0.5" footer="0.5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zoomScaleNormal="100" workbookViewId="0"/>
  </sheetViews>
  <sheetFormatPr defaultColWidth="0" defaultRowHeight="14.25" zeroHeight="1" x14ac:dyDescent="0.25"/>
  <cols>
    <col min="1" max="1" width="4.140625" style="49" customWidth="1"/>
    <col min="2" max="2" width="41.85546875" style="49" customWidth="1"/>
    <col min="3" max="3" width="5.7109375" style="49" customWidth="1"/>
    <col min="4" max="20" width="9.140625" style="49" customWidth="1"/>
    <col min="21" max="16384" width="0" style="49" hidden="1"/>
  </cols>
  <sheetData>
    <row r="1" spans="1:20" ht="29.25" customHeight="1" x14ac:dyDescent="0.25"/>
    <row r="2" spans="1:20" s="50" customFormat="1" x14ac:dyDescent="0.25">
      <c r="A2" s="49"/>
      <c r="B2" s="125" t="s">
        <v>167</v>
      </c>
      <c r="C2" s="126"/>
      <c r="D2" s="126"/>
      <c r="E2" s="126"/>
      <c r="F2" s="126"/>
      <c r="G2" s="127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50" customFormat="1" ht="13.5" customHeight="1" x14ac:dyDescent="0.25">
      <c r="A3" s="49"/>
      <c r="B3" s="128"/>
      <c r="C3" s="129"/>
      <c r="D3" s="129"/>
      <c r="E3" s="129"/>
      <c r="F3" s="129"/>
      <c r="G3" s="130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s="50" customFormat="1" ht="12.75" customHeight="1" x14ac:dyDescent="0.25">
      <c r="A4" s="49"/>
      <c r="B4" s="128"/>
      <c r="C4" s="129"/>
      <c r="D4" s="129"/>
      <c r="E4" s="129"/>
      <c r="F4" s="129"/>
      <c r="G4" s="130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s="50" customFormat="1" ht="12.75" customHeight="1" x14ac:dyDescent="0.25">
      <c r="A5" s="49"/>
      <c r="B5" s="131"/>
      <c r="C5" s="132"/>
      <c r="D5" s="132"/>
      <c r="E5" s="132"/>
      <c r="F5" s="132"/>
      <c r="G5" s="133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2.75" customHeight="1" x14ac:dyDescent="0.25"/>
    <row r="7" spans="1:20" ht="21.75" customHeight="1" x14ac:dyDescent="0.3">
      <c r="A7" s="56"/>
      <c r="B7" s="134" t="s">
        <v>130</v>
      </c>
      <c r="C7" s="134"/>
      <c r="D7" s="134"/>
      <c r="E7" s="134"/>
      <c r="F7" s="134"/>
      <c r="G7" s="5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</row>
    <row r="8" spans="1:20" ht="13.5" customHeight="1" x14ac:dyDescent="0.3">
      <c r="B8" s="1"/>
      <c r="C8" s="1"/>
      <c r="D8" s="1"/>
      <c r="E8" s="1"/>
      <c r="F8" s="1"/>
      <c r="G8" s="1"/>
    </row>
    <row r="9" spans="1:20" x14ac:dyDescent="0.25"/>
    <row r="10" spans="1:20" x14ac:dyDescent="0.25"/>
    <row r="11" spans="1:20" s="60" customFormat="1" ht="16.5" x14ac:dyDescent="0.3">
      <c r="B11" s="61" t="s">
        <v>131</v>
      </c>
      <c r="C11" s="61" t="s">
        <v>132</v>
      </c>
      <c r="D11" s="61">
        <f>Curr_Year</f>
        <v>2017</v>
      </c>
      <c r="E11" s="61">
        <f>D11+1</f>
        <v>2018</v>
      </c>
      <c r="F11" s="61">
        <f t="shared" ref="F11:R11" si="0">E11+1</f>
        <v>2019</v>
      </c>
      <c r="G11" s="61">
        <f t="shared" si="0"/>
        <v>2020</v>
      </c>
      <c r="H11" s="61">
        <f t="shared" si="0"/>
        <v>2021</v>
      </c>
      <c r="I11" s="61">
        <f t="shared" si="0"/>
        <v>2022</v>
      </c>
      <c r="J11" s="61">
        <f t="shared" si="0"/>
        <v>2023</v>
      </c>
      <c r="K11" s="61">
        <f t="shared" si="0"/>
        <v>2024</v>
      </c>
      <c r="L11" s="61">
        <f t="shared" si="0"/>
        <v>2025</v>
      </c>
      <c r="M11" s="61">
        <f t="shared" si="0"/>
        <v>2026</v>
      </c>
      <c r="N11" s="61">
        <f t="shared" si="0"/>
        <v>2027</v>
      </c>
      <c r="O11" s="61">
        <f t="shared" si="0"/>
        <v>2028</v>
      </c>
      <c r="P11" s="61">
        <f t="shared" si="0"/>
        <v>2029</v>
      </c>
      <c r="Q11" s="61">
        <f t="shared" si="0"/>
        <v>2030</v>
      </c>
      <c r="R11" s="61">
        <f t="shared" si="0"/>
        <v>2031</v>
      </c>
      <c r="S11" s="61">
        <f>R11+1</f>
        <v>2032</v>
      </c>
      <c r="T11" s="78"/>
    </row>
    <row r="12" spans="1:20" s="50" customFormat="1" ht="13.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5"/>
    <row r="14" spans="1:20" x14ac:dyDescent="0.25">
      <c r="A14" s="52">
        <v>1</v>
      </c>
      <c r="B14" s="52" t="s">
        <v>134</v>
      </c>
    </row>
    <row r="15" spans="1:20" x14ac:dyDescent="0.25">
      <c r="B15" s="49" t="s">
        <v>135</v>
      </c>
      <c r="D15" s="49">
        <f>Mkt_Size_NP*(1+Mkt_Growth_Base)</f>
        <v>525</v>
      </c>
      <c r="E15" s="53">
        <f t="shared" ref="E15:S15" si="1">D15*(1+Mkt_Growth_Base)</f>
        <v>551.25</v>
      </c>
      <c r="F15" s="53">
        <f t="shared" si="1"/>
        <v>578.8125</v>
      </c>
      <c r="G15" s="53">
        <f t="shared" si="1"/>
        <v>607.75312500000007</v>
      </c>
      <c r="H15" s="53">
        <f t="shared" si="1"/>
        <v>638.14078125000015</v>
      </c>
      <c r="I15" s="53">
        <f t="shared" si="1"/>
        <v>670.04782031250022</v>
      </c>
      <c r="J15" s="53">
        <f t="shared" si="1"/>
        <v>703.55021132812522</v>
      </c>
      <c r="K15" s="53">
        <f t="shared" si="1"/>
        <v>738.72772189453156</v>
      </c>
      <c r="L15" s="53">
        <f t="shared" si="1"/>
        <v>775.66410798925813</v>
      </c>
      <c r="M15" s="53">
        <f t="shared" si="1"/>
        <v>814.44731338872111</v>
      </c>
      <c r="N15" s="53">
        <f t="shared" si="1"/>
        <v>855.16967905815716</v>
      </c>
      <c r="O15" s="53">
        <f t="shared" si="1"/>
        <v>897.92816301106507</v>
      </c>
      <c r="P15" s="53">
        <f t="shared" si="1"/>
        <v>942.82457116161834</v>
      </c>
      <c r="Q15" s="53">
        <f t="shared" si="1"/>
        <v>989.96579971969925</v>
      </c>
      <c r="R15" s="53">
        <f t="shared" si="1"/>
        <v>1039.4640897056843</v>
      </c>
      <c r="S15" s="53">
        <f t="shared" si="1"/>
        <v>1091.4372941909685</v>
      </c>
    </row>
    <row r="16" spans="1:20" x14ac:dyDescent="0.25"/>
    <row r="17" spans="1:19" x14ac:dyDescent="0.25">
      <c r="A17" s="52">
        <v>2</v>
      </c>
      <c r="B17" s="52" t="s">
        <v>136</v>
      </c>
      <c r="D17" s="49">
        <f>Mkt_Size_NP*(1+Mkt_Growth_Base)*IF(MarketSize!D11&gt;=MIN(DPL_SBPYr,Yr_2Gen_avail),1.02,1)</f>
        <v>525</v>
      </c>
      <c r="E17" s="53">
        <f>D17*(1+Mkt_Growth_Base)*IF(MarketSize!E11&gt;=MIN(DPL_SBPYr,Yr_2Gen_avail),1.02,1)</f>
        <v>551.25</v>
      </c>
      <c r="F17" s="53">
        <f>E17*(1+Mkt_Growth_Base)*IF(MarketSize!F11&gt;=MIN(DPL_SBPYr,Yr_2Gen_avail),1.02,1)</f>
        <v>578.8125</v>
      </c>
      <c r="G17" s="53">
        <f>F17*(1+Mkt_Growth_Base)*IF(MarketSize!G11&gt;=MIN(DPL_SBPYr,Yr_2Gen_avail),1.02,1)</f>
        <v>607.75312500000007</v>
      </c>
      <c r="H17" s="53">
        <f>G17*(1+Mkt_Growth_Base)*IF(MarketSize!H11&gt;=MIN(DPL_SBPYr,Yr_2Gen_avail),1.02,1)</f>
        <v>638.14078125000015</v>
      </c>
      <c r="I17" s="53">
        <f>H17*(1+Mkt_Growth_Base)*IF(MarketSize!I11&gt;=MIN(DPL_SBPYr,Yr_2Gen_avail),1.02,1)</f>
        <v>670.04782031250022</v>
      </c>
      <c r="J17" s="53">
        <f>I17*(1+Mkt_Growth_Base)*IF(MarketSize!J11&gt;=MIN(DPL_SBPYr,Yr_2Gen_avail),1.02,1)</f>
        <v>703.55021132812522</v>
      </c>
      <c r="K17" s="53">
        <f>J17*(1+Mkt_Growth_Base)*IF(MarketSize!K11&gt;=MIN(DPL_SBPYr,Yr_2Gen_avail),1.02,1)</f>
        <v>738.72772189453156</v>
      </c>
      <c r="L17" s="53">
        <f>K17*(1+Mkt_Growth_Base)*IF(MarketSize!L11&gt;=MIN(DPL_SBPYr,Yr_2Gen_avail),1.02,1)</f>
        <v>775.66410798925813</v>
      </c>
      <c r="M17" s="53">
        <f>L17*(1+Mkt_Growth_Base)*IF(MarketSize!M11&gt;=MIN(DPL_SBPYr,Yr_2Gen_avail),1.02,1)</f>
        <v>814.44731338872111</v>
      </c>
      <c r="N17" s="53">
        <f>M17*(1+Mkt_Growth_Base)*IF(MarketSize!N11&gt;=MIN(DPL_SBPYr,Yr_2Gen_avail),1.02,1)</f>
        <v>855.16967905815716</v>
      </c>
      <c r="O17" s="53">
        <f>N17*(1+Mkt_Growth_Base)*IF(MarketSize!O11&gt;=MIN(DPL_SBPYr,Yr_2Gen_avail),1.02,1)</f>
        <v>897.92816301106507</v>
      </c>
      <c r="P17" s="53">
        <f>O17*(1+Mkt_Growth_Base)*IF(MarketSize!P11&gt;=MIN(DPL_SBPYr,Yr_2Gen_avail),1.02,1)</f>
        <v>942.82457116161834</v>
      </c>
      <c r="Q17" s="53">
        <f>P17*(1+Mkt_Growth_Base)*IF(MarketSize!Q11&gt;=MIN(DPL_SBPYr,Yr_2Gen_avail),1.02,1)</f>
        <v>989.96579971969925</v>
      </c>
      <c r="R17" s="53">
        <f>Q17*(1+Mkt_Growth_Base)*IF(MarketSize!R11&gt;=MIN(DPL_SBPYr,Yr_2Gen_avail),1.02,1)</f>
        <v>1039.4640897056843</v>
      </c>
      <c r="S17" s="53">
        <f>R17*(1+Mkt_Growth_Base)*IF(MarketSize!S11&gt;=MIN(DPL_SBPYr,Yr_2Gen_avail),1.02,1)</f>
        <v>1091.4372941909685</v>
      </c>
    </row>
    <row r="18" spans="1:19" x14ac:dyDescent="0.25">
      <c r="B18" s="49" t="s">
        <v>141</v>
      </c>
    </row>
    <row r="19" spans="1:19" x14ac:dyDescent="0.25">
      <c r="B19" s="49" t="s">
        <v>137</v>
      </c>
    </row>
    <row r="20" spans="1:19" x14ac:dyDescent="0.25">
      <c r="B20" s="54" t="s">
        <v>145</v>
      </c>
    </row>
    <row r="21" spans="1:19" x14ac:dyDescent="0.25">
      <c r="A21" s="52">
        <v>3</v>
      </c>
      <c r="B21" s="52" t="s">
        <v>138</v>
      </c>
      <c r="D21" s="49">
        <f>Mkt_Size_NP*(1+Mkt_Growth_Base)*IF(MarketSize!D11&gt;=Yr_3Gen_avail,1.03,1)</f>
        <v>525</v>
      </c>
      <c r="E21" s="53">
        <f>D21*(1+Mkt_Growth_Base)*IF(MarketSize!E11&gt;=Yr_3Gen_avail,1.03,1)</f>
        <v>551.25</v>
      </c>
      <c r="F21" s="53">
        <f>E21*(1+Mkt_Growth_Base)*IF(MarketSize!F11&gt;=Yr_3Gen_avail,1.03,1)</f>
        <v>578.8125</v>
      </c>
      <c r="G21" s="53">
        <f>F21*(1+Mkt_Growth_Base)*IF(MarketSize!G11&gt;=Yr_3Gen_avail,1.03,1)</f>
        <v>607.75312500000007</v>
      </c>
      <c r="H21" s="53">
        <f>G21*(1+Mkt_Growth_Base)*IF(MarketSize!H11&gt;=Yr_3Gen_avail,1.03,1)</f>
        <v>638.14078125000015</v>
      </c>
      <c r="I21" s="53">
        <f>H21*(1+Mkt_Growth_Base)*IF(MarketSize!I11&gt;=Yr_3Gen_avail,1.03,1)</f>
        <v>670.04782031250022</v>
      </c>
      <c r="J21" s="53">
        <f>I21*(1+Mkt_Growth_Base)*IF(MarketSize!J11&gt;=Yr_3Gen_avail,1.03,1)</f>
        <v>703.55021132812522</v>
      </c>
      <c r="K21" s="53">
        <f>J21*(1+Mkt_Growth_Base)*IF(MarketSize!K11&gt;=Yr_3Gen_avail,1.03,1)</f>
        <v>738.72772189453156</v>
      </c>
      <c r="L21" s="53">
        <f>K21*(1+Mkt_Growth_Base)*IF(MarketSize!L11&gt;=Yr_3Gen_avail,1.03,1)</f>
        <v>775.66410798925813</v>
      </c>
      <c r="M21" s="53">
        <f>L21*(1+Mkt_Growth_Base)*IF(MarketSize!M11&gt;=Yr_3Gen_avail,1.03,1)</f>
        <v>814.44731338872111</v>
      </c>
      <c r="N21" s="53">
        <f>M21*(1+Mkt_Growth_Base)*IF(MarketSize!N11&gt;=Yr_3Gen_avail,1.03,1)</f>
        <v>855.16967905815716</v>
      </c>
      <c r="O21" s="53">
        <f>N21*(1+Mkt_Growth_Base)*IF(MarketSize!O11&gt;=Yr_3Gen_avail,1.03,1)</f>
        <v>897.92816301106507</v>
      </c>
      <c r="P21" s="53">
        <f>O21*(1+Mkt_Growth_Base)*IF(MarketSize!P11&gt;=Yr_3Gen_avail,1.03,1)</f>
        <v>942.82457116161834</v>
      </c>
      <c r="Q21" s="53">
        <f>P21*(1+Mkt_Growth_Base)*IF(MarketSize!Q11&gt;=Yr_3Gen_avail,1.03,1)</f>
        <v>989.96579971969925</v>
      </c>
      <c r="R21" s="53">
        <f>Q21*(1+Mkt_Growth_Base)*IF(MarketSize!R11&gt;=Yr_3Gen_avail,1.03,1)</f>
        <v>1039.4640897056843</v>
      </c>
      <c r="S21" s="53">
        <f>R21*(1+Mkt_Growth_Base)*IF(MarketSize!S11&gt;=Yr_3Gen_avail,1.03,1)</f>
        <v>1091.4372941909685</v>
      </c>
    </row>
    <row r="22" spans="1:19" x14ac:dyDescent="0.25">
      <c r="B22" s="49" t="s">
        <v>139</v>
      </c>
    </row>
    <row r="23" spans="1:19" x14ac:dyDescent="0.25">
      <c r="B23" s="49" t="s">
        <v>140</v>
      </c>
    </row>
    <row r="24" spans="1:19" x14ac:dyDescent="0.25">
      <c r="B24" s="54" t="s">
        <v>146</v>
      </c>
    </row>
    <row r="25" spans="1:19" x14ac:dyDescent="0.25">
      <c r="A25" s="52">
        <v>4</v>
      </c>
      <c r="B25" s="52" t="s">
        <v>142</v>
      </c>
      <c r="D25" s="49">
        <f>Mkt_Size_NP*(1+Mkt_Growth_Base)*IF(MarketSize!D11&gt;=Yr_3Gen_avail,1.03,1)*IF(D11&gt;=MIN(DPL_SBPYr,Yr_2Gen_avail),1.02,1)</f>
        <v>525</v>
      </c>
      <c r="E25" s="53">
        <f>D25*(1+Mkt_Growth_Base)*IF(MarketSize!E11&gt;=Yr_3Gen_avail,1.03,1)*IF(E11&gt;=MIN(DPL_SBPYr,Yr_2Gen_avail),1.02,1)</f>
        <v>551.25</v>
      </c>
      <c r="F25" s="53">
        <f>E25*(1+Mkt_Growth_Base)*IF(MarketSize!F11&gt;=Yr_3Gen_avail,1.03,1)*IF(F11&gt;=MIN(DPL_SBPYr,Yr_2Gen_avail),1.02,1)</f>
        <v>578.8125</v>
      </c>
      <c r="G25" s="53">
        <f>F25*(1+Mkt_Growth_Base)*IF(MarketSize!G11&gt;=Yr_3Gen_avail,1.03,1)*IF(G11&gt;=MIN(DPL_SBPYr,Yr_2Gen_avail),1.02,1)</f>
        <v>607.75312500000007</v>
      </c>
      <c r="H25" s="53">
        <f>G25*(1+Mkt_Growth_Base)*IF(MarketSize!H11&gt;=Yr_3Gen_avail,1.03,1)*IF(H11&gt;=MIN(DPL_SBPYr,Yr_2Gen_avail),1.02,1)</f>
        <v>638.14078125000015</v>
      </c>
      <c r="I25" s="53">
        <f>H25*(1+Mkt_Growth_Base)*IF(MarketSize!I11&gt;=Yr_3Gen_avail,1.03,1)*IF(I11&gt;=MIN(DPL_SBPYr,Yr_2Gen_avail),1.02,1)</f>
        <v>670.04782031250022</v>
      </c>
      <c r="J25" s="53">
        <f>I25*(1+Mkt_Growth_Base)*IF(MarketSize!J11&gt;=Yr_3Gen_avail,1.03,1)*IF(J11&gt;=MIN(DPL_SBPYr,Yr_2Gen_avail),1.02,1)</f>
        <v>703.55021132812522</v>
      </c>
      <c r="K25" s="53">
        <f>J25*(1+Mkt_Growth_Base)*IF(MarketSize!K11&gt;=Yr_3Gen_avail,1.03,1)*IF(K11&gt;=MIN(DPL_SBPYr,Yr_2Gen_avail),1.02,1)</f>
        <v>738.72772189453156</v>
      </c>
      <c r="L25" s="53">
        <f>K25*(1+Mkt_Growth_Base)*IF(MarketSize!L11&gt;=Yr_3Gen_avail,1.03,1)*IF(L11&gt;=MIN(DPL_SBPYr,Yr_2Gen_avail),1.02,1)</f>
        <v>775.66410798925813</v>
      </c>
      <c r="M25" s="53">
        <f>L25*(1+Mkt_Growth_Base)*IF(MarketSize!M11&gt;=Yr_3Gen_avail,1.03,1)*IF(M11&gt;=MIN(DPL_SBPYr,Yr_2Gen_avail),1.02,1)</f>
        <v>814.44731338872111</v>
      </c>
      <c r="N25" s="53">
        <f>M25*(1+Mkt_Growth_Base)*IF(MarketSize!N11&gt;=Yr_3Gen_avail,1.03,1)*IF(N11&gt;=MIN(DPL_SBPYr,Yr_2Gen_avail),1.02,1)</f>
        <v>855.16967905815716</v>
      </c>
      <c r="O25" s="53">
        <f>N25*(1+Mkt_Growth_Base)*IF(MarketSize!O11&gt;=Yr_3Gen_avail,1.03,1)*IF(O11&gt;=MIN(DPL_SBPYr,Yr_2Gen_avail),1.02,1)</f>
        <v>897.92816301106507</v>
      </c>
      <c r="P25" s="53">
        <f>O25*(1+Mkt_Growth_Base)*IF(MarketSize!P11&gt;=Yr_3Gen_avail,1.03,1)*IF(P11&gt;=MIN(DPL_SBPYr,Yr_2Gen_avail),1.02,1)</f>
        <v>942.82457116161834</v>
      </c>
      <c r="Q25" s="53">
        <f>P25*(1+Mkt_Growth_Base)*IF(MarketSize!Q11&gt;=Yr_3Gen_avail,1.03,1)*IF(Q11&gt;=MIN(DPL_SBPYr,Yr_2Gen_avail),1.02,1)</f>
        <v>989.96579971969925</v>
      </c>
      <c r="R25" s="53">
        <f>Q25*(1+Mkt_Growth_Base)*IF(MarketSize!R11&gt;=Yr_3Gen_avail,1.03,1)*IF(R11&gt;=MIN(DPL_SBPYr,Yr_2Gen_avail),1.02,1)</f>
        <v>1039.4640897056843</v>
      </c>
      <c r="S25" s="53">
        <f>R25*(1+Mkt_Growth_Base)*IF(MarketSize!S11&gt;=Yr_3Gen_avail,1.03,1)*IF(S11&gt;=MIN(DPL_SBPYr,Yr_2Gen_avail),1.02,1)</f>
        <v>1091.4372941909685</v>
      </c>
    </row>
    <row r="26" spans="1:19" x14ac:dyDescent="0.25">
      <c r="B26" s="49" t="s">
        <v>143</v>
      </c>
    </row>
    <row r="27" spans="1:19" x14ac:dyDescent="0.25">
      <c r="B27" s="49" t="s">
        <v>144</v>
      </c>
    </row>
    <row r="28" spans="1:19" x14ac:dyDescent="0.25">
      <c r="B28" s="54" t="s">
        <v>147</v>
      </c>
    </row>
    <row r="29" spans="1:19" x14ac:dyDescent="0.25">
      <c r="B29" s="49" t="s">
        <v>133</v>
      </c>
      <c r="G29" s="55">
        <f>Mkt_Growth_Base</f>
        <v>0.05</v>
      </c>
    </row>
    <row r="30" spans="1:19" x14ac:dyDescent="0.25"/>
  </sheetData>
  <mergeCells count="2">
    <mergeCell ref="B2:G5"/>
    <mergeCell ref="B7:F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62"/>
  <sheetViews>
    <sheetView zoomScale="90" zoomScaleNormal="90" workbookViewId="0"/>
  </sheetViews>
  <sheetFormatPr defaultColWidth="0" defaultRowHeight="14.25" zeroHeight="1" x14ac:dyDescent="0.25"/>
  <cols>
    <col min="1" max="1" width="4.28515625" style="49" customWidth="1"/>
    <col min="2" max="2" width="53.85546875" style="49" customWidth="1"/>
    <col min="3" max="3" width="12.28515625" style="49" customWidth="1"/>
    <col min="4" max="4" width="10.7109375" style="49" customWidth="1"/>
    <col min="5" max="18" width="9.140625" style="49" customWidth="1"/>
    <col min="19" max="19" width="11.42578125" style="49" customWidth="1"/>
    <col min="20" max="20" width="10.85546875" style="49" customWidth="1"/>
    <col min="21" max="21" width="9.140625" style="49" customWidth="1"/>
    <col min="22" max="16384" width="0" style="49" hidden="1"/>
  </cols>
  <sheetData>
    <row r="1" spans="1:21" s="85" customFormat="1" ht="33.75" customHeight="1" x14ac:dyDescent="0.35">
      <c r="A1" s="82"/>
      <c r="B1" s="100" t="s">
        <v>31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</row>
    <row r="2" spans="1:21" s="51" customFormat="1" ht="19.5" customHeight="1" x14ac:dyDescent="0.3">
      <c r="A2" s="12"/>
      <c r="B2" s="12"/>
      <c r="C2" s="12"/>
      <c r="D2" s="101">
        <v>2016</v>
      </c>
      <c r="E2" s="101">
        <f>Curr_Year</f>
        <v>2017</v>
      </c>
      <c r="F2" s="101">
        <f>E2+1</f>
        <v>2018</v>
      </c>
      <c r="G2" s="101">
        <f t="shared" ref="G2:T2" si="0">F2+1</f>
        <v>2019</v>
      </c>
      <c r="H2" s="101">
        <f t="shared" si="0"/>
        <v>2020</v>
      </c>
      <c r="I2" s="101">
        <f t="shared" si="0"/>
        <v>2021</v>
      </c>
      <c r="J2" s="101">
        <f t="shared" si="0"/>
        <v>2022</v>
      </c>
      <c r="K2" s="101">
        <f t="shared" si="0"/>
        <v>2023</v>
      </c>
      <c r="L2" s="101">
        <f t="shared" si="0"/>
        <v>2024</v>
      </c>
      <c r="M2" s="101">
        <f>L2+1</f>
        <v>2025</v>
      </c>
      <c r="N2" s="101">
        <f t="shared" si="0"/>
        <v>2026</v>
      </c>
      <c r="O2" s="101">
        <f t="shared" si="0"/>
        <v>2027</v>
      </c>
      <c r="P2" s="101">
        <f t="shared" si="0"/>
        <v>2028</v>
      </c>
      <c r="Q2" s="101">
        <f t="shared" si="0"/>
        <v>2029</v>
      </c>
      <c r="R2" s="101">
        <f>Q2+1</f>
        <v>2030</v>
      </c>
      <c r="S2" s="101">
        <f t="shared" si="0"/>
        <v>2031</v>
      </c>
      <c r="T2" s="101">
        <f t="shared" si="0"/>
        <v>2032</v>
      </c>
      <c r="U2" s="101"/>
    </row>
    <row r="3" spans="1:21" s="50" customFormat="1" ht="12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x14ac:dyDescent="0.25"/>
    <row r="5" spans="1:21" x14ac:dyDescent="0.25"/>
    <row r="6" spans="1:21" ht="18" customHeight="1" x14ac:dyDescent="0.3">
      <c r="B6" s="49" t="s">
        <v>148</v>
      </c>
      <c r="C6" s="86">
        <f>DPL_MktExp</f>
        <v>1</v>
      </c>
    </row>
    <row r="7" spans="1:21" x14ac:dyDescent="0.25">
      <c r="B7" s="52" t="s">
        <v>129</v>
      </c>
      <c r="C7" s="69" t="s">
        <v>33</v>
      </c>
      <c r="D7" s="49">
        <f>Mkt_Size_NP</f>
        <v>500</v>
      </c>
      <c r="E7" s="53">
        <f>CHOOSE($C$6,MarketSize!D15,MarketSize!D17,MarketSize!D21,MarketSize!D25)*IF(OR($C$6=2, $C$6=4),IF(E2&gt;=Yr_Study,CHOOSE(DPL_StudyRes,0.9,1,1.03),1),1)</f>
        <v>525</v>
      </c>
      <c r="F7" s="53">
        <f>CHOOSE($C$6,MarketSize!E15,MarketSize!E17,MarketSize!E21,MarketSize!E25)*IF(OR($C$6=2, $C$6=4),IF(F2&gt;=Yr_Study,CHOOSE(DPL_StudyRes,0.9,1,1.03),1),1)</f>
        <v>551.25</v>
      </c>
      <c r="G7" s="53">
        <f>CHOOSE($C$6,MarketSize!F15,MarketSize!F17,MarketSize!F21,MarketSize!F25)*IF(OR($C$6=2, $C$6=4),IF(G2&gt;=Yr_Study,CHOOSE(DPL_StudyRes,0.9,1,1.03),1),1)</f>
        <v>578.8125</v>
      </c>
      <c r="H7" s="53">
        <f>CHOOSE($C$6,MarketSize!G15,MarketSize!G17,MarketSize!G21,MarketSize!G25)*IF(OR($C$6=2, $C$6=4),IF(H2&gt;=Yr_Study,CHOOSE(DPL_StudyRes,0.9,1,1.03),1),1)</f>
        <v>607.75312500000007</v>
      </c>
      <c r="I7" s="53">
        <f>CHOOSE($C$6,MarketSize!H15,MarketSize!H17,MarketSize!H21,MarketSize!H25)*IF(OR($C$6=2, $C$6=4),IF(I2&gt;=Yr_Study,CHOOSE(DPL_StudyRes,0.9,1,1.03),1),1)</f>
        <v>638.14078125000015</v>
      </c>
      <c r="J7" s="53">
        <f>CHOOSE($C$6,MarketSize!I15,MarketSize!I17,MarketSize!I21,MarketSize!I25)*IF(OR($C$6=2, $C$6=4),IF(J2&gt;=Yr_Study,CHOOSE(DPL_StudyRes,0.9,1,1.03),1),1)</f>
        <v>670.04782031250022</v>
      </c>
      <c r="K7" s="53">
        <f>CHOOSE($C$6,MarketSize!J15,MarketSize!J17,MarketSize!J21,MarketSize!J25)*IF(OR($C$6=2, $C$6=4),IF(K2&gt;=Yr_Study,CHOOSE(DPL_StudyRes,0.9,1,1.03),1),1)</f>
        <v>703.55021132812522</v>
      </c>
      <c r="L7" s="53">
        <f>CHOOSE($C$6,MarketSize!K15,MarketSize!K17,MarketSize!K21,MarketSize!K25)*IF(OR($C$6=2, $C$6=4),IF(L2&gt;=Yr_Study,CHOOSE(DPL_StudyRes,0.9,1,1.03),1),1)</f>
        <v>738.72772189453156</v>
      </c>
      <c r="M7" s="53">
        <f>CHOOSE($C$6,MarketSize!L15,MarketSize!L17,MarketSize!L21,MarketSize!L25)*IF(OR($C$6=2, $C$6=4),IF(M2&gt;=Yr_Study,CHOOSE(DPL_StudyRes,0.9,1,1.03),1),1)</f>
        <v>775.66410798925813</v>
      </c>
      <c r="N7" s="53">
        <f>CHOOSE($C$6,MarketSize!M15,MarketSize!M17,MarketSize!M21,MarketSize!M25)*IF(OR($C$6=2, $C$6=4),IF(N2&gt;=Yr_Study,CHOOSE(DPL_StudyRes,0.9,1,1.03),1),1)</f>
        <v>814.44731338872111</v>
      </c>
      <c r="O7" s="53">
        <f>CHOOSE($C$6,MarketSize!N15,MarketSize!N17,MarketSize!N21,MarketSize!N25)*IF(OR($C$6=2, $C$6=4),IF(O2&gt;=Yr_Study,CHOOSE(DPL_StudyRes,0.9,1,1.03),1),1)</f>
        <v>855.16967905815716</v>
      </c>
      <c r="P7" s="53">
        <f>CHOOSE($C$6,MarketSize!O15,MarketSize!O17,MarketSize!O21,MarketSize!O25)*IF(OR($C$6=2, $C$6=4),IF(P2&gt;=Yr_Study,CHOOSE(DPL_StudyRes,0.9,1,1.03),1),1)</f>
        <v>897.92816301106507</v>
      </c>
      <c r="Q7" s="53">
        <f>CHOOSE($C$6,MarketSize!P15,MarketSize!P17,MarketSize!P21,MarketSize!P25)*IF(OR($C$6=2, $C$6=4),IF(Q2&gt;=Yr_Study,CHOOSE(DPL_StudyRes,0.9,1,1.03),1),1)</f>
        <v>942.82457116161834</v>
      </c>
      <c r="R7" s="53">
        <f>CHOOSE($C$6,MarketSize!Q15,MarketSize!Q17,MarketSize!Q21,MarketSize!Q25)*IF(OR($C$6=2, $C$6=4),IF(R2&gt;=Yr_Study,CHOOSE(DPL_StudyRes,0.9,1,1.03),1),1)</f>
        <v>989.96579971969925</v>
      </c>
      <c r="S7" s="53">
        <f>CHOOSE($C$6,MarketSize!R15,MarketSize!R17,MarketSize!R21,MarketSize!R25)*IF(OR($C$6=2, $C$6=4),IF(S2&gt;=Yr_Study,CHOOSE(DPL_StudyRes,0.9,1,1.03),1),1)</f>
        <v>1039.4640897056843</v>
      </c>
      <c r="T7" s="53">
        <f>CHOOSE($C$6,MarketSize!S15,MarketSize!S17,MarketSize!S21,MarketSize!S25)*IF(OR($C$6=2, $C$6=4),IF(T2&gt;=Yr_Study,CHOOSE(DPL_StudyRes,0.9,1,1.03),1),1)</f>
        <v>1091.4372941909685</v>
      </c>
    </row>
    <row r="8" spans="1:21" x14ac:dyDescent="0.25">
      <c r="B8" s="49" t="s">
        <v>157</v>
      </c>
      <c r="E8" s="49">
        <f>E7/D7</f>
        <v>1.05</v>
      </c>
      <c r="F8" s="49">
        <f t="shared" ref="F8:T8" si="1">F7/E7</f>
        <v>1.05</v>
      </c>
      <c r="G8" s="49">
        <f t="shared" si="1"/>
        <v>1.05</v>
      </c>
      <c r="H8" s="49">
        <f t="shared" si="1"/>
        <v>1.05</v>
      </c>
      <c r="I8" s="49">
        <f t="shared" si="1"/>
        <v>1.05</v>
      </c>
      <c r="J8" s="49">
        <f t="shared" si="1"/>
        <v>1.05</v>
      </c>
      <c r="K8" s="49">
        <f t="shared" si="1"/>
        <v>1.05</v>
      </c>
      <c r="L8" s="49">
        <f t="shared" si="1"/>
        <v>1.05</v>
      </c>
      <c r="M8" s="49">
        <f t="shared" si="1"/>
        <v>1.05</v>
      </c>
      <c r="N8" s="49">
        <f t="shared" si="1"/>
        <v>1.05</v>
      </c>
      <c r="O8" s="49">
        <f t="shared" si="1"/>
        <v>1.05</v>
      </c>
      <c r="P8" s="49">
        <f t="shared" si="1"/>
        <v>1.05</v>
      </c>
      <c r="Q8" s="49">
        <f t="shared" si="1"/>
        <v>1.05</v>
      </c>
      <c r="R8" s="49">
        <f t="shared" si="1"/>
        <v>1.05</v>
      </c>
      <c r="S8" s="49">
        <f t="shared" si="1"/>
        <v>1.05</v>
      </c>
      <c r="T8" s="49">
        <f t="shared" si="1"/>
        <v>1.05</v>
      </c>
    </row>
    <row r="9" spans="1:21" x14ac:dyDescent="0.25">
      <c r="B9" s="49" t="s">
        <v>158</v>
      </c>
    </row>
    <row r="10" spans="1:21" x14ac:dyDescent="0.25"/>
    <row r="11" spans="1:21" x14ac:dyDescent="0.25"/>
    <row r="12" spans="1:21" x14ac:dyDescent="0.25"/>
    <row r="13" spans="1:21" x14ac:dyDescent="0.25"/>
    <row r="14" spans="1:21" x14ac:dyDescent="0.25">
      <c r="B14" s="52" t="s">
        <v>79</v>
      </c>
      <c r="C14" s="49" t="s">
        <v>4</v>
      </c>
      <c r="D14" s="87">
        <f>Mkt_Share_NP</f>
        <v>0.5</v>
      </c>
      <c r="E14" s="87">
        <f>IF(DPL_InitDec=1,'Patient Share Model'!D14,IF(E2&gt;=Yr_Delay_LCM,D14,D14*IF(E2&gt;=NP_Decline_Yr,(1-NP_Decline_Rt),1)))</f>
        <v>0.5</v>
      </c>
      <c r="F14" s="87">
        <f>IF(DPL_InitDec=1,'Patient Share Model'!E14,IF(F2&gt;=Yr_Delay_LCM,E14,E14*IF(F2&gt;=NP_Decline_Yr,(1-NP_Decline_Rt),1)))</f>
        <v>0.32500000000000001</v>
      </c>
      <c r="G14" s="87">
        <f>IF(DPL_InitDec=1,'Patient Share Model'!F14,IF(G2&gt;=Yr_Delay_LCM,F14,F14*IF(G2&gt;=NP_Decline_Yr,(1-NP_Decline_Rt),1)))</f>
        <v>0.21125000000000002</v>
      </c>
      <c r="H14" s="87">
        <f>IF(DPL_InitDec=1,'Patient Share Model'!G14,IF(H2&gt;=Yr_Delay_LCM,G14,G14*IF(H2&gt;=NP_Decline_Yr,(1-NP_Decline_Rt),1)))</f>
        <v>0.13731250000000003</v>
      </c>
      <c r="I14" s="87">
        <f>IF(DPL_InitDec=1,'Patient Share Model'!H14,IF(I2&gt;=Yr_Delay_LCM,H14,H14*IF(I2&gt;=NP_Decline_Yr,(1-NP_Decline_Rt),1)))</f>
        <v>8.925312500000003E-2</v>
      </c>
      <c r="J14" s="87">
        <f>IF(DPL_InitDec=1,'Patient Share Model'!I14,IF(J2&gt;=Yr_Delay_LCM,I14,I14*IF(J2&gt;=NP_Decline_Yr,(1-NP_Decline_Rt),1)))</f>
        <v>5.8014531250000022E-2</v>
      </c>
      <c r="K14" s="87">
        <f>IF(DPL_InitDec=1,'Patient Share Model'!J14,IF(K2&gt;=Yr_Delay_LCM,J14,J14*IF(K2&gt;=NP_Decline_Yr,(1-NP_Decline_Rt),1)))</f>
        <v>3.7709445312500013E-2</v>
      </c>
      <c r="L14" s="87">
        <f>IF(DPL_InitDec=1,'Patient Share Model'!K14,IF(L2&gt;=Yr_Delay_LCM,K14,K14*IF(L2&gt;=NP_Decline_Yr,(1-NP_Decline_Rt),1)))</f>
        <v>2.4511139453125011E-2</v>
      </c>
      <c r="M14" s="87">
        <f>IF(DPL_InitDec=1,'Patient Share Model'!L14,IF(M2&gt;=Yr_Delay_LCM,L14,L14*IF(M2&gt;=NP_Decline_Yr,(1-NP_Decline_Rt),1)))</f>
        <v>1.5932240644531259E-2</v>
      </c>
      <c r="N14" s="87">
        <f>IF(DPL_InitDec=1,'Patient Share Model'!M14,IF(N2&gt;=Yr_Delay_LCM,M14,M14*IF(N2&gt;=NP_Decline_Yr,(1-NP_Decline_Rt),1)))</f>
        <v>1.0355956418945319E-2</v>
      </c>
      <c r="O14" s="87">
        <f>IF(DPL_InitDec=1,'Patient Share Model'!N14,IF(O2&gt;=Yr_Delay_LCM,N14,N14*IF(O2&gt;=NP_Decline_Yr,(1-NP_Decline_Rt),1)))</f>
        <v>6.7313716723144575E-3</v>
      </c>
      <c r="P14" s="87">
        <f>IF(DPL_InitDec=1,'Patient Share Model'!O14,IF(P2&gt;=Yr_Delay_LCM,O14,O14*IF(P2&gt;=NP_Decline_Yr,(1-NP_Decline_Rt),1)))</f>
        <v>4.3753915870043975E-3</v>
      </c>
      <c r="Q14" s="87">
        <f>IF(DPL_InitDec=1,'Patient Share Model'!P14,IF(Q2&gt;=Yr_Delay_LCM,P14,P14*IF(Q2&gt;=NP_Decline_Yr,(1-NP_Decline_Rt),1)))</f>
        <v>2.8440045315528584E-3</v>
      </c>
      <c r="R14" s="87">
        <f>IF(DPL_InitDec=1,'Patient Share Model'!Q14,IF(R2&gt;=Yr_Delay_LCM,Q14,Q14*IF(R2&gt;=NP_Decline_Yr,(1-NP_Decline_Rt),1)))</f>
        <v>1.8486029455093581E-3</v>
      </c>
      <c r="S14" s="87">
        <f>IF(DPL_InitDec=1,'Patient Share Model'!R14,IF(S2&gt;=Yr_Delay_LCM,R14,R14*IF(S2&gt;=NP_Decline_Yr,(1-NP_Decline_Rt),1)))</f>
        <v>1.2015919145810829E-3</v>
      </c>
      <c r="T14" s="87">
        <f>IF(DPL_InitDec=1,'Patient Share Model'!S14,IF(T2&gt;=Yr_Delay_LCM,S14,S14*IF(T2&gt;=NP_Decline_Yr,(1-NP_Decline_Rt),1)))</f>
        <v>7.8103474447770388E-4</v>
      </c>
    </row>
    <row r="15" spans="1:21" x14ac:dyDescent="0.25">
      <c r="B15" s="49" t="s">
        <v>32</v>
      </c>
      <c r="C15" s="69" t="s">
        <v>33</v>
      </c>
      <c r="D15" s="53">
        <f>D7*D14</f>
        <v>250</v>
      </c>
      <c r="E15" s="53">
        <f t="shared" ref="E15:T15" si="2">E7*E14</f>
        <v>262.5</v>
      </c>
      <c r="F15" s="53">
        <f t="shared" si="2"/>
        <v>179.15625</v>
      </c>
      <c r="G15" s="53">
        <f t="shared" si="2"/>
        <v>122.27414062500002</v>
      </c>
      <c r="H15" s="53">
        <f t="shared" si="2"/>
        <v>83.452100976562534</v>
      </c>
      <c r="I15" s="53">
        <f t="shared" si="2"/>
        <v>56.956058916503942</v>
      </c>
      <c r="J15" s="53">
        <f t="shared" si="2"/>
        <v>38.872510210513944</v>
      </c>
      <c r="K15" s="53">
        <f t="shared" si="2"/>
        <v>26.530488218675764</v>
      </c>
      <c r="L15" s="53">
        <f t="shared" si="2"/>
        <v>18.107058209246212</v>
      </c>
      <c r="M15" s="53">
        <f t="shared" si="2"/>
        <v>12.358067227810542</v>
      </c>
      <c r="N15" s="53">
        <f t="shared" si="2"/>
        <v>8.4343808829806957</v>
      </c>
      <c r="O15" s="53">
        <f t="shared" si="2"/>
        <v>5.7564649526343254</v>
      </c>
      <c r="P15" s="53">
        <f t="shared" si="2"/>
        <v>3.9287873301729275</v>
      </c>
      <c r="Q15" s="53">
        <f t="shared" si="2"/>
        <v>2.6813973528430228</v>
      </c>
      <c r="R15" s="53">
        <f t="shared" si="2"/>
        <v>1.8300536933153633</v>
      </c>
      <c r="S15" s="53">
        <f t="shared" si="2"/>
        <v>1.2490116456877356</v>
      </c>
      <c r="T15" s="53">
        <f t="shared" si="2"/>
        <v>0.85245044818187954</v>
      </c>
    </row>
    <row r="16" spans="1:21" x14ac:dyDescent="0.25">
      <c r="B16" s="49" t="s">
        <v>75</v>
      </c>
    </row>
    <row r="17" spans="2:20" x14ac:dyDescent="0.25"/>
    <row r="18" spans="2:20" x14ac:dyDescent="0.25">
      <c r="B18" s="52" t="s">
        <v>34</v>
      </c>
      <c r="C18" s="49" t="s">
        <v>4</v>
      </c>
      <c r="E18" s="87">
        <f t="shared" ref="E18:J18" si="3">E14*(1-E19)</f>
        <v>0.5</v>
      </c>
      <c r="F18" s="87">
        <f t="shared" si="3"/>
        <v>0.32500000000000001</v>
      </c>
      <c r="G18" s="87">
        <f t="shared" si="3"/>
        <v>0.21125000000000002</v>
      </c>
      <c r="H18" s="87">
        <f t="shared" si="3"/>
        <v>0.13731250000000003</v>
      </c>
      <c r="I18" s="87">
        <f t="shared" si="3"/>
        <v>8.925312500000003E-2</v>
      </c>
      <c r="J18" s="87">
        <f t="shared" si="3"/>
        <v>5.8014531250000022E-2</v>
      </c>
      <c r="K18" s="87">
        <f t="shared" ref="K18:T18" si="4">K14*(1-K19)</f>
        <v>3.7709445312500013E-2</v>
      </c>
      <c r="L18" s="87">
        <f t="shared" si="4"/>
        <v>2.4511139453125011E-2</v>
      </c>
      <c r="M18" s="87">
        <f t="shared" si="4"/>
        <v>1.5932240644531259E-2</v>
      </c>
      <c r="N18" s="87">
        <f t="shared" si="4"/>
        <v>1.0355956418945319E-2</v>
      </c>
      <c r="O18" s="87">
        <f t="shared" si="4"/>
        <v>6.7313716723144575E-3</v>
      </c>
      <c r="P18" s="87">
        <f t="shared" si="4"/>
        <v>4.3753915870043975E-3</v>
      </c>
      <c r="Q18" s="87">
        <f t="shared" si="4"/>
        <v>2.8440045315528584E-3</v>
      </c>
      <c r="R18" s="87">
        <f t="shared" si="4"/>
        <v>1.8486029455093581E-3</v>
      </c>
      <c r="S18" s="87">
        <f t="shared" si="4"/>
        <v>1.2015919145810829E-3</v>
      </c>
      <c r="T18" s="87">
        <f t="shared" si="4"/>
        <v>7.8103474447770388E-4</v>
      </c>
    </row>
    <row r="19" spans="2:20" x14ac:dyDescent="0.25">
      <c r="B19" s="49" t="s">
        <v>80</v>
      </c>
      <c r="C19" s="87" t="s">
        <v>4</v>
      </c>
      <c r="D19" s="87">
        <v>0</v>
      </c>
      <c r="E19" s="87">
        <f>IF(OR(E2&gt;=DPL_SBPYr,'Patient Share Model'!E2&gt;=Yr_2Gen_avail),D19+Conv_2v1*(Share_2v1-'Patient Share Model'!D19),0)</f>
        <v>0</v>
      </c>
      <c r="F19" s="87">
        <f>IF(OR(F2&gt;=DPL_SBPYr,'Patient Share Model'!F2&gt;=Yr_2Gen_avail),E19+Conv_2v1*(Share_2v1-'Patient Share Model'!E19),0)</f>
        <v>0</v>
      </c>
      <c r="G19" s="87">
        <f>IF(OR(G2&gt;=DPL_SBPYr,'Patient Share Model'!G2&gt;=Yr_2Gen_avail),F19+Conv_2v1*(Share_2v1-'Patient Share Model'!F19),0)</f>
        <v>0</v>
      </c>
      <c r="H19" s="87">
        <f>IF(OR(H2&gt;=DPL_SBPYr,'Patient Share Model'!H2&gt;=Yr_2Gen_avail),G19+Conv_2v1*(Share_2v1-'Patient Share Model'!G19),0)</f>
        <v>0</v>
      </c>
      <c r="I19" s="87">
        <f>IF(OR(I2&gt;=DPL_SBPYr,'Patient Share Model'!I2&gt;=Yr_2Gen_avail),H19+Conv_2v1*(Share_2v1-'Patient Share Model'!H19),0)</f>
        <v>0</v>
      </c>
      <c r="J19" s="87">
        <f>IF(OR(J2&gt;=DPL_SBPYr,'Patient Share Model'!J2&gt;=Yr_2Gen_avail),I19+Conv_2v1*(Share_2v1-'Patient Share Model'!I19),0)</f>
        <v>0</v>
      </c>
      <c r="K19" s="87">
        <f>IF(OR(K2&gt;=DPL_SBPYr,'Patient Share Model'!K2&gt;=Yr_2Gen_avail),J19+Conv_2v1*(Share_2v1-'Patient Share Model'!J19),0)</f>
        <v>0</v>
      </c>
      <c r="L19" s="87">
        <f>IF(OR(L2&gt;=DPL_SBPYr,'Patient Share Model'!L2&gt;=Yr_2Gen_avail),K19+Conv_2v1*(Share_2v1-'Patient Share Model'!K19),0)</f>
        <v>0</v>
      </c>
      <c r="M19" s="87">
        <f>IF(OR(M2&gt;=DPL_SBPYr,'Patient Share Model'!M2&gt;=Yr_2Gen_avail),L19+Conv_2v1*(Share_2v1-'Patient Share Model'!L19),0)</f>
        <v>0</v>
      </c>
      <c r="N19" s="87">
        <f>IF(OR(N2&gt;=DPL_SBPYr,'Patient Share Model'!N2&gt;=Yr_2Gen_avail),M19+Conv_2v1*(Share_2v1-'Patient Share Model'!M19),0)</f>
        <v>0</v>
      </c>
      <c r="O19" s="87">
        <f>IF(OR(O2&gt;=DPL_SBPYr,'Patient Share Model'!O2&gt;=Yr_2Gen_avail),N19+Conv_2v1*(Share_2v1-'Patient Share Model'!N19),0)</f>
        <v>0</v>
      </c>
      <c r="P19" s="87">
        <f>IF(OR(P2&gt;=DPL_SBPYr,'Patient Share Model'!P2&gt;=Yr_2Gen_avail),O19+Conv_2v1*(Share_2v1-'Patient Share Model'!O19),0)</f>
        <v>0</v>
      </c>
      <c r="Q19" s="87">
        <f>IF(OR(Q2&gt;=DPL_SBPYr,'Patient Share Model'!Q2&gt;=Yr_2Gen_avail),P19+Conv_2v1*(Share_2v1-'Patient Share Model'!P19),0)</f>
        <v>0</v>
      </c>
      <c r="R19" s="87">
        <f>IF(OR(R2&gt;=DPL_SBPYr,'Patient Share Model'!R2&gt;=Yr_2Gen_avail),Q19+Conv_2v1*(Share_2v1-'Patient Share Model'!Q19),0)</f>
        <v>0</v>
      </c>
      <c r="S19" s="87">
        <f>IF(OR(S2&gt;=DPL_SBPYr,'Patient Share Model'!S2&gt;=Yr_2Gen_avail),R19+Conv_2v1*(Share_2v1-'Patient Share Model'!R19),0)</f>
        <v>0</v>
      </c>
      <c r="T19" s="87">
        <f>IF(OR(T2&gt;=DPL_SBPYr,'Patient Share Model'!T2&gt;=Yr_2Gen_avail),S19+Conv_2v1*(Share_2v1-'Patient Share Model'!S19),0)</f>
        <v>0</v>
      </c>
    </row>
    <row r="20" spans="2:20" x14ac:dyDescent="0.25">
      <c r="B20" s="88" t="s">
        <v>37</v>
      </c>
      <c r="C20" s="49" t="s">
        <v>4</v>
      </c>
      <c r="E20" s="87">
        <f>IF(E2&gt;=DPL_SBPYr,IF(E2&lt;Yr_2Gen_avail,E19,SBP_Shr*'Patient Share Model'!E19),0)</f>
        <v>0</v>
      </c>
      <c r="F20" s="87">
        <f>IF(F2&gt;=DPL_SBPYr,IF(F2&lt;Yr_2Gen_avail,F19,SBP_Shr*'Patient Share Model'!F19),0)</f>
        <v>0</v>
      </c>
      <c r="G20" s="87">
        <f>IF(G2&gt;=DPL_SBPYr,IF(G2&lt;Yr_2Gen_avail,G19,SBP_Shr*'Patient Share Model'!G19),0)</f>
        <v>0</v>
      </c>
      <c r="H20" s="87">
        <f>IF(H2&gt;=DPL_SBPYr,IF(H2&lt;Yr_2Gen_avail,H19,SBP_Shr*'Patient Share Model'!H19),0)</f>
        <v>0</v>
      </c>
      <c r="I20" s="87">
        <f>IF(I2&gt;=DPL_SBPYr,IF(I2&lt;Yr_2Gen_avail,I19,SBP_Shr*'Patient Share Model'!I19),0)</f>
        <v>0</v>
      </c>
      <c r="J20" s="87">
        <f>IF(J2&gt;=DPL_SBPYr,IF(J2&lt;Yr_2Gen_avail,J19,SBP_Shr*'Patient Share Model'!J19),0)</f>
        <v>0</v>
      </c>
      <c r="K20" s="87">
        <f>IF(K2&gt;=DPL_SBPYr,IF(K2&lt;Yr_2Gen_avail,K19,SBP_Shr*'Patient Share Model'!K19),0)</f>
        <v>0</v>
      </c>
      <c r="L20" s="87">
        <f>IF(L2&gt;=DPL_SBPYr,IF(L2&lt;Yr_2Gen_avail,L19,SBP_Shr*'Patient Share Model'!L19),0)</f>
        <v>0</v>
      </c>
      <c r="M20" s="87">
        <f>IF(M2&gt;=DPL_SBPYr,IF(M2&lt;Yr_2Gen_avail,M19,SBP_Shr*'Patient Share Model'!M19),0)</f>
        <v>0</v>
      </c>
      <c r="N20" s="87">
        <f>IF(N2&gt;=DPL_SBPYr,IF(N2&lt;Yr_2Gen_avail,N19,SBP_Shr*'Patient Share Model'!N19),0)</f>
        <v>0</v>
      </c>
      <c r="O20" s="87">
        <f>IF(O2&gt;=DPL_SBPYr,IF(O2&lt;Yr_2Gen_avail,O19,SBP_Shr*'Patient Share Model'!O19),0)</f>
        <v>0</v>
      </c>
      <c r="P20" s="87">
        <f>IF(P2&gt;=DPL_SBPYr,IF(P2&lt;Yr_2Gen_avail,P19,SBP_Shr*'Patient Share Model'!P19),0)</f>
        <v>0</v>
      </c>
      <c r="Q20" s="87">
        <f>IF(Q2&gt;=DPL_SBPYr,IF(Q2&lt;Yr_2Gen_avail,Q19,SBP_Shr*'Patient Share Model'!Q19),0)</f>
        <v>0</v>
      </c>
      <c r="R20" s="87">
        <f>IF(R2&gt;=DPL_SBPYr,IF(R2&lt;Yr_2Gen_avail,R19,SBP_Shr*'Patient Share Model'!R19),0)</f>
        <v>0</v>
      </c>
      <c r="S20" s="87">
        <f>IF(S2&gt;=DPL_SBPYr,IF(S2&lt;Yr_2Gen_avail,S19,SBP_Shr*'Patient Share Model'!S19),0)</f>
        <v>0</v>
      </c>
      <c r="T20" s="87">
        <f>IF(T2&gt;=DPL_SBPYr,IF(T2&lt;Yr_2Gen_avail,T19,SBP_Shr*'Patient Share Model'!T19),0)</f>
        <v>0</v>
      </c>
    </row>
    <row r="21" spans="2:20" x14ac:dyDescent="0.25">
      <c r="B21" s="88" t="s">
        <v>38</v>
      </c>
      <c r="C21" s="49" t="s">
        <v>4</v>
      </c>
      <c r="E21" s="89">
        <f>E19-E20</f>
        <v>0</v>
      </c>
      <c r="F21" s="89">
        <f t="shared" ref="F21:L21" si="5">F19-F20</f>
        <v>0</v>
      </c>
      <c r="G21" s="89">
        <f t="shared" si="5"/>
        <v>0</v>
      </c>
      <c r="H21" s="89">
        <f t="shared" si="5"/>
        <v>0</v>
      </c>
      <c r="I21" s="89">
        <f t="shared" si="5"/>
        <v>0</v>
      </c>
      <c r="J21" s="89">
        <f t="shared" si="5"/>
        <v>0</v>
      </c>
      <c r="K21" s="89">
        <f t="shared" si="5"/>
        <v>0</v>
      </c>
      <c r="L21" s="89">
        <f t="shared" si="5"/>
        <v>0</v>
      </c>
      <c r="M21" s="89">
        <f t="shared" ref="M21:T21" si="6">M19-M20</f>
        <v>0</v>
      </c>
      <c r="N21" s="89">
        <f t="shared" si="6"/>
        <v>0</v>
      </c>
      <c r="O21" s="89">
        <f t="shared" si="6"/>
        <v>0</v>
      </c>
      <c r="P21" s="89">
        <f t="shared" si="6"/>
        <v>0</v>
      </c>
      <c r="Q21" s="89">
        <f t="shared" si="6"/>
        <v>0</v>
      </c>
      <c r="R21" s="89">
        <f t="shared" si="6"/>
        <v>0</v>
      </c>
      <c r="S21" s="89">
        <f t="shared" si="6"/>
        <v>0</v>
      </c>
      <c r="T21" s="89">
        <f t="shared" si="6"/>
        <v>0</v>
      </c>
    </row>
    <row r="22" spans="2:20" x14ac:dyDescent="0.25">
      <c r="B22" s="88" t="s">
        <v>87</v>
      </c>
      <c r="C22" s="49" t="s">
        <v>4</v>
      </c>
      <c r="E22" s="89">
        <f>(1-E18-E19)</f>
        <v>0.5</v>
      </c>
      <c r="F22" s="89">
        <f t="shared" ref="F22:T22" si="7">(1-F18-F19)</f>
        <v>0.67500000000000004</v>
      </c>
      <c r="G22" s="89">
        <f t="shared" si="7"/>
        <v>0.78874999999999995</v>
      </c>
      <c r="H22" s="89">
        <f t="shared" si="7"/>
        <v>0.86268749999999994</v>
      </c>
      <c r="I22" s="89">
        <f t="shared" si="7"/>
        <v>0.91074687499999996</v>
      </c>
      <c r="J22" s="89">
        <f t="shared" si="7"/>
        <v>0.94198546875</v>
      </c>
      <c r="K22" s="89">
        <f t="shared" si="7"/>
        <v>0.96229055468750002</v>
      </c>
      <c r="L22" s="89">
        <f t="shared" si="7"/>
        <v>0.975488860546875</v>
      </c>
      <c r="M22" s="89">
        <f t="shared" si="7"/>
        <v>0.98406775935546875</v>
      </c>
      <c r="N22" s="89">
        <f t="shared" si="7"/>
        <v>0.98964404358105473</v>
      </c>
      <c r="O22" s="89">
        <f t="shared" si="7"/>
        <v>0.99326862832768559</v>
      </c>
      <c r="P22" s="89">
        <f t="shared" si="7"/>
        <v>0.9956246084129956</v>
      </c>
      <c r="Q22" s="89">
        <f t="shared" si="7"/>
        <v>0.99715599546844713</v>
      </c>
      <c r="R22" s="89">
        <f t="shared" si="7"/>
        <v>0.99815139705449063</v>
      </c>
      <c r="S22" s="89">
        <f t="shared" si="7"/>
        <v>0.99879840808541887</v>
      </c>
      <c r="T22" s="89">
        <f t="shared" si="7"/>
        <v>0.99921896525552234</v>
      </c>
    </row>
    <row r="23" spans="2:20" x14ac:dyDescent="0.25">
      <c r="B23" s="88" t="s">
        <v>50</v>
      </c>
    </row>
    <row r="24" spans="2:20" x14ac:dyDescent="0.25">
      <c r="B24" s="88"/>
    </row>
    <row r="25" spans="2:20" x14ac:dyDescent="0.25">
      <c r="B25" s="88" t="s">
        <v>88</v>
      </c>
      <c r="E25" s="49" t="str">
        <f>IF(E18+E20+E21+E22&lt;&gt;1, "Error!","OK")</f>
        <v>OK</v>
      </c>
      <c r="F25" s="49" t="str">
        <f t="shared" ref="F25:T25" si="8">IF(F18+F20+F21+F22&lt;&gt;1, "Error!","OK")</f>
        <v>OK</v>
      </c>
      <c r="G25" s="49" t="str">
        <f t="shared" si="8"/>
        <v>OK</v>
      </c>
      <c r="H25" s="49" t="str">
        <f t="shared" si="8"/>
        <v>OK</v>
      </c>
      <c r="I25" s="49" t="str">
        <f t="shared" si="8"/>
        <v>OK</v>
      </c>
      <c r="J25" s="49" t="str">
        <f t="shared" si="8"/>
        <v>OK</v>
      </c>
      <c r="K25" s="49" t="str">
        <f t="shared" si="8"/>
        <v>OK</v>
      </c>
      <c r="L25" s="49" t="str">
        <f t="shared" si="8"/>
        <v>OK</v>
      </c>
      <c r="M25" s="49" t="str">
        <f t="shared" si="8"/>
        <v>OK</v>
      </c>
      <c r="N25" s="49" t="str">
        <f t="shared" si="8"/>
        <v>OK</v>
      </c>
      <c r="O25" s="49" t="str">
        <f t="shared" si="8"/>
        <v>OK</v>
      </c>
      <c r="P25" s="49" t="str">
        <f t="shared" si="8"/>
        <v>OK</v>
      </c>
      <c r="Q25" s="49" t="str">
        <f t="shared" si="8"/>
        <v>OK</v>
      </c>
      <c r="R25" s="49" t="str">
        <f t="shared" si="8"/>
        <v>OK</v>
      </c>
      <c r="S25" s="49" t="str">
        <f t="shared" si="8"/>
        <v>OK</v>
      </c>
      <c r="T25" s="49" t="str">
        <f t="shared" si="8"/>
        <v>OK</v>
      </c>
    </row>
    <row r="26" spans="2:20" x14ac:dyDescent="0.25"/>
    <row r="27" spans="2:20" x14ac:dyDescent="0.25">
      <c r="B27" s="52" t="s">
        <v>35</v>
      </c>
      <c r="C27" s="49" t="s">
        <v>4</v>
      </c>
      <c r="E27" s="55">
        <f>E18*(1-E31)</f>
        <v>0.5</v>
      </c>
      <c r="F27" s="55">
        <f t="shared" ref="F27:T27" si="9">F18*(1-F31)</f>
        <v>0.32500000000000001</v>
      </c>
      <c r="G27" s="55">
        <f t="shared" si="9"/>
        <v>0.21125000000000002</v>
      </c>
      <c r="H27" s="55">
        <f t="shared" si="9"/>
        <v>0.13731250000000003</v>
      </c>
      <c r="I27" s="55">
        <f t="shared" si="9"/>
        <v>8.925312500000003E-2</v>
      </c>
      <c r="J27" s="55">
        <f t="shared" si="9"/>
        <v>5.8014531250000022E-2</v>
      </c>
      <c r="K27" s="55">
        <f t="shared" si="9"/>
        <v>3.7709445312500013E-2</v>
      </c>
      <c r="L27" s="55">
        <f t="shared" si="9"/>
        <v>2.4511139453125011E-2</v>
      </c>
      <c r="M27" s="55">
        <f t="shared" si="9"/>
        <v>1.5932240644531259E-2</v>
      </c>
      <c r="N27" s="55">
        <f t="shared" si="9"/>
        <v>1.0355956418945319E-2</v>
      </c>
      <c r="O27" s="55">
        <f t="shared" si="9"/>
        <v>6.7313716723144575E-3</v>
      </c>
      <c r="P27" s="55">
        <f t="shared" si="9"/>
        <v>4.3753915870043975E-3</v>
      </c>
      <c r="Q27" s="55">
        <f t="shared" si="9"/>
        <v>2.8440045315528584E-3</v>
      </c>
      <c r="R27" s="55">
        <f t="shared" si="9"/>
        <v>1.8486029455093581E-3</v>
      </c>
      <c r="S27" s="55">
        <f t="shared" si="9"/>
        <v>1.2015919145810829E-3</v>
      </c>
      <c r="T27" s="55">
        <f t="shared" si="9"/>
        <v>7.8103474447770388E-4</v>
      </c>
    </row>
    <row r="28" spans="2:20" x14ac:dyDescent="0.25">
      <c r="B28" s="49" t="s">
        <v>36</v>
      </c>
      <c r="C28" s="49" t="s">
        <v>4</v>
      </c>
    </row>
    <row r="29" spans="2:20" x14ac:dyDescent="0.25">
      <c r="B29" s="88" t="s">
        <v>37</v>
      </c>
      <c r="C29" s="49" t="s">
        <v>4</v>
      </c>
      <c r="E29" s="55">
        <f>E20*(1-E31)</f>
        <v>0</v>
      </c>
      <c r="F29" s="55">
        <f t="shared" ref="F29:T29" si="10">F20*(1-F31)</f>
        <v>0</v>
      </c>
      <c r="G29" s="55">
        <f t="shared" si="10"/>
        <v>0</v>
      </c>
      <c r="H29" s="55">
        <f t="shared" si="10"/>
        <v>0</v>
      </c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>
        <f t="shared" si="10"/>
        <v>0</v>
      </c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</row>
    <row r="30" spans="2:20" x14ac:dyDescent="0.25">
      <c r="B30" s="88" t="s">
        <v>38</v>
      </c>
      <c r="C30" s="49" t="s">
        <v>4</v>
      </c>
      <c r="E30" s="87">
        <f>E21*(1-E31)</f>
        <v>0</v>
      </c>
      <c r="F30" s="87">
        <f t="shared" ref="F30:T30" si="11">F21*(1-F31)</f>
        <v>0</v>
      </c>
      <c r="G30" s="87">
        <f t="shared" si="11"/>
        <v>0</v>
      </c>
      <c r="H30" s="87">
        <f t="shared" si="11"/>
        <v>0</v>
      </c>
      <c r="I30" s="87">
        <f t="shared" si="11"/>
        <v>0</v>
      </c>
      <c r="J30" s="87">
        <f t="shared" si="11"/>
        <v>0</v>
      </c>
      <c r="K30" s="87">
        <f t="shared" si="11"/>
        <v>0</v>
      </c>
      <c r="L30" s="87">
        <f t="shared" si="11"/>
        <v>0</v>
      </c>
      <c r="M30" s="87">
        <f t="shared" si="11"/>
        <v>0</v>
      </c>
      <c r="N30" s="87">
        <f t="shared" si="11"/>
        <v>0</v>
      </c>
      <c r="O30" s="87">
        <f t="shared" si="11"/>
        <v>0</v>
      </c>
      <c r="P30" s="87">
        <f t="shared" si="11"/>
        <v>0</v>
      </c>
      <c r="Q30" s="87">
        <f t="shared" si="11"/>
        <v>0</v>
      </c>
      <c r="R30" s="87">
        <f t="shared" si="11"/>
        <v>0</v>
      </c>
      <c r="S30" s="87">
        <f t="shared" si="11"/>
        <v>0</v>
      </c>
      <c r="T30" s="87">
        <f t="shared" si="11"/>
        <v>0</v>
      </c>
    </row>
    <row r="31" spans="2:20" x14ac:dyDescent="0.25">
      <c r="B31" s="49" t="s">
        <v>39</v>
      </c>
      <c r="C31" s="49" t="s">
        <v>4</v>
      </c>
      <c r="E31" s="87">
        <f t="shared" ref="E31:T31" si="12">IF(E2&gt;=Yr_3Gen_avail,MIN((E2-Yr_3Gen_avail+1)/Conv_3v2,1)*Share_3v2,0)</f>
        <v>0</v>
      </c>
      <c r="F31" s="87">
        <f t="shared" si="12"/>
        <v>0</v>
      </c>
      <c r="G31" s="87">
        <f t="shared" si="12"/>
        <v>0</v>
      </c>
      <c r="H31" s="87">
        <f t="shared" si="12"/>
        <v>0</v>
      </c>
      <c r="I31" s="87">
        <f t="shared" si="12"/>
        <v>0</v>
      </c>
      <c r="J31" s="87">
        <f t="shared" si="12"/>
        <v>0</v>
      </c>
      <c r="K31" s="87">
        <f t="shared" si="12"/>
        <v>0</v>
      </c>
      <c r="L31" s="87">
        <f t="shared" si="12"/>
        <v>0</v>
      </c>
      <c r="M31" s="87">
        <f t="shared" si="12"/>
        <v>0</v>
      </c>
      <c r="N31" s="87">
        <f t="shared" si="12"/>
        <v>0</v>
      </c>
      <c r="O31" s="87">
        <f t="shared" si="12"/>
        <v>0</v>
      </c>
      <c r="P31" s="87">
        <f t="shared" si="12"/>
        <v>0</v>
      </c>
      <c r="Q31" s="87">
        <f t="shared" si="12"/>
        <v>0</v>
      </c>
      <c r="R31" s="87">
        <f t="shared" si="12"/>
        <v>0</v>
      </c>
      <c r="S31" s="87">
        <f t="shared" si="12"/>
        <v>0</v>
      </c>
      <c r="T31" s="87">
        <f t="shared" si="12"/>
        <v>0</v>
      </c>
    </row>
    <row r="32" spans="2:20" x14ac:dyDescent="0.25">
      <c r="B32" s="52" t="s">
        <v>40</v>
      </c>
    </row>
    <row r="33" spans="2:20" x14ac:dyDescent="0.25">
      <c r="B33" s="52" t="s">
        <v>89</v>
      </c>
    </row>
    <row r="34" spans="2:20" x14ac:dyDescent="0.25">
      <c r="B34" s="52" t="s">
        <v>41</v>
      </c>
      <c r="C34" s="69" t="s">
        <v>33</v>
      </c>
      <c r="E34" s="53">
        <f>E27*E7</f>
        <v>262.5</v>
      </c>
      <c r="F34" s="53">
        <f t="shared" ref="F34:T34" si="13">F27*F7</f>
        <v>179.15625</v>
      </c>
      <c r="G34" s="53">
        <f t="shared" si="13"/>
        <v>122.27414062500002</v>
      </c>
      <c r="H34" s="53">
        <f t="shared" si="13"/>
        <v>83.452100976562534</v>
      </c>
      <c r="I34" s="53">
        <f t="shared" si="13"/>
        <v>56.956058916503942</v>
      </c>
      <c r="J34" s="53">
        <f t="shared" si="13"/>
        <v>38.872510210513944</v>
      </c>
      <c r="K34" s="53">
        <f t="shared" si="13"/>
        <v>26.530488218675764</v>
      </c>
      <c r="L34" s="53">
        <f t="shared" si="13"/>
        <v>18.107058209246212</v>
      </c>
      <c r="M34" s="53">
        <f t="shared" si="13"/>
        <v>12.358067227810542</v>
      </c>
      <c r="N34" s="53">
        <f t="shared" si="13"/>
        <v>8.4343808829806957</v>
      </c>
      <c r="O34" s="53">
        <f t="shared" si="13"/>
        <v>5.7564649526343254</v>
      </c>
      <c r="P34" s="53">
        <f t="shared" si="13"/>
        <v>3.9287873301729275</v>
      </c>
      <c r="Q34" s="53">
        <f t="shared" si="13"/>
        <v>2.6813973528430228</v>
      </c>
      <c r="R34" s="53">
        <f t="shared" si="13"/>
        <v>1.8300536933153633</v>
      </c>
      <c r="S34" s="53">
        <f t="shared" si="13"/>
        <v>1.2490116456877356</v>
      </c>
      <c r="T34" s="53">
        <f t="shared" si="13"/>
        <v>0.85245044818187954</v>
      </c>
    </row>
    <row r="35" spans="2:20" x14ac:dyDescent="0.25">
      <c r="B35" s="52" t="s">
        <v>42</v>
      </c>
      <c r="C35" s="69" t="s">
        <v>33</v>
      </c>
      <c r="E35" s="53">
        <f>E29*E7</f>
        <v>0</v>
      </c>
      <c r="F35" s="53">
        <f t="shared" ref="F35:T35" si="14">F29*F7</f>
        <v>0</v>
      </c>
      <c r="G35" s="53">
        <f t="shared" si="14"/>
        <v>0</v>
      </c>
      <c r="H35" s="53">
        <f t="shared" si="14"/>
        <v>0</v>
      </c>
      <c r="I35" s="53">
        <f t="shared" si="14"/>
        <v>0</v>
      </c>
      <c r="J35" s="53">
        <f t="shared" si="14"/>
        <v>0</v>
      </c>
      <c r="K35" s="53">
        <f t="shared" si="14"/>
        <v>0</v>
      </c>
      <c r="L35" s="53">
        <f t="shared" si="14"/>
        <v>0</v>
      </c>
      <c r="M35" s="53">
        <f t="shared" si="14"/>
        <v>0</v>
      </c>
      <c r="N35" s="53">
        <f t="shared" si="14"/>
        <v>0</v>
      </c>
      <c r="O35" s="53">
        <f t="shared" si="14"/>
        <v>0</v>
      </c>
      <c r="P35" s="53">
        <f t="shared" si="14"/>
        <v>0</v>
      </c>
      <c r="Q35" s="53">
        <f t="shared" si="14"/>
        <v>0</v>
      </c>
      <c r="R35" s="53">
        <f t="shared" si="14"/>
        <v>0</v>
      </c>
      <c r="S35" s="53">
        <f t="shared" si="14"/>
        <v>0</v>
      </c>
      <c r="T35" s="53">
        <f t="shared" si="14"/>
        <v>0</v>
      </c>
    </row>
    <row r="36" spans="2:20" x14ac:dyDescent="0.25"/>
    <row r="37" spans="2:20" ht="12.75" customHeight="1" x14ac:dyDescent="0.25"/>
    <row r="38" spans="2:20" x14ac:dyDescent="0.25"/>
    <row r="39" spans="2:20" x14ac:dyDescent="0.25"/>
    <row r="40" spans="2:20" x14ac:dyDescent="0.25"/>
    <row r="41" spans="2:20" x14ac:dyDescent="0.25"/>
    <row r="42" spans="2:20" x14ac:dyDescent="0.25"/>
    <row r="43" spans="2:20" x14ac:dyDescent="0.25"/>
    <row r="44" spans="2:20" x14ac:dyDescent="0.25"/>
    <row r="45" spans="2:20" x14ac:dyDescent="0.25"/>
    <row r="46" spans="2:20" x14ac:dyDescent="0.25"/>
    <row r="47" spans="2:20" x14ac:dyDescent="0.25"/>
    <row r="48" spans="2:2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phoneticPr fontId="2" type="noConversion"/>
  <pageMargins left="0.75" right="0.75" top="1" bottom="1" header="0.5" footer="0.5"/>
  <pageSetup scale="53" orientation="landscape" horizontalDpi="4294967293" r:id="rId1"/>
  <headerFooter alignWithMargins="0"/>
  <ignoredErrors>
    <ignoredError sqref="C7 C15 C34:C3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2"/>
  <sheetViews>
    <sheetView workbookViewId="0"/>
  </sheetViews>
  <sheetFormatPr defaultColWidth="0" defaultRowHeight="14.25" zeroHeight="1" x14ac:dyDescent="0.25"/>
  <cols>
    <col min="1" max="1" width="3.85546875" style="81" customWidth="1"/>
    <col min="2" max="2" width="55" style="81" customWidth="1"/>
    <col min="3" max="3" width="9.140625" style="81" customWidth="1"/>
    <col min="4" max="4" width="5.7109375" style="81" customWidth="1"/>
    <col min="5" max="5" width="11" style="81" bestFit="1" customWidth="1"/>
    <col min="6" max="7" width="9.28515625" style="81" bestFit="1" customWidth="1"/>
    <col min="8" max="20" width="11.5703125" style="81" bestFit="1" customWidth="1"/>
    <col min="21" max="21" width="9.140625" style="81" customWidth="1"/>
    <col min="22" max="16384" width="0" style="81" hidden="1"/>
  </cols>
  <sheetData>
    <row r="1" spans="1:21" s="65" customFormat="1" ht="24.75" customHeight="1" x14ac:dyDescent="0.35">
      <c r="A1" s="4"/>
      <c r="B1" s="63" t="s">
        <v>51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49" customFormat="1" ht="8.25" customHeight="1" x14ac:dyDescent="0.25"/>
    <row r="3" spans="1:21" s="49" customFormat="1" ht="16.5" x14ac:dyDescent="0.3">
      <c r="B3" s="103" t="s">
        <v>52</v>
      </c>
    </row>
    <row r="4" spans="1:21" s="49" customFormat="1" ht="6" customHeight="1" x14ac:dyDescent="0.25"/>
    <row r="5" spans="1:21" s="51" customFormat="1" ht="16.5" x14ac:dyDescent="0.3">
      <c r="A5" s="66"/>
      <c r="B5" s="67" t="s">
        <v>82</v>
      </c>
      <c r="C5" s="68"/>
      <c r="D5" s="77">
        <f>'Patient Share Model'!D2</f>
        <v>2016</v>
      </c>
      <c r="E5" s="77">
        <f>'Patient Share Model'!E2</f>
        <v>2017</v>
      </c>
      <c r="F5" s="77">
        <f>'Patient Share Model'!F2</f>
        <v>2018</v>
      </c>
      <c r="G5" s="77">
        <f>'Patient Share Model'!G2</f>
        <v>2019</v>
      </c>
      <c r="H5" s="77">
        <f>'Patient Share Model'!H2</f>
        <v>2020</v>
      </c>
      <c r="I5" s="77">
        <f>'Patient Share Model'!I2</f>
        <v>2021</v>
      </c>
      <c r="J5" s="77">
        <f>'Patient Share Model'!J2</f>
        <v>2022</v>
      </c>
      <c r="K5" s="77">
        <f>'Patient Share Model'!K2</f>
        <v>2023</v>
      </c>
      <c r="L5" s="77">
        <f>'Patient Share Model'!L2</f>
        <v>2024</v>
      </c>
      <c r="M5" s="77">
        <f>'Patient Share Model'!M2</f>
        <v>2025</v>
      </c>
      <c r="N5" s="77">
        <f>'Patient Share Model'!N2</f>
        <v>2026</v>
      </c>
      <c r="O5" s="77">
        <f>'Patient Share Model'!O2</f>
        <v>2027</v>
      </c>
      <c r="P5" s="77">
        <f>'Patient Share Model'!P2</f>
        <v>2028</v>
      </c>
      <c r="Q5" s="77">
        <f>'Patient Share Model'!Q2</f>
        <v>2029</v>
      </c>
      <c r="R5" s="77">
        <f>'Patient Share Model'!R2</f>
        <v>2030</v>
      </c>
      <c r="S5" s="77">
        <f>'Patient Share Model'!S2</f>
        <v>2031</v>
      </c>
      <c r="T5" s="77">
        <f>'Patient Share Model'!T2</f>
        <v>2032</v>
      </c>
      <c r="U5" s="102"/>
    </row>
    <row r="6" spans="1:21" s="50" customFormat="1" ht="12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49" customFormat="1" x14ac:dyDescent="0.25"/>
    <row r="8" spans="1:21" s="49" customFormat="1" x14ac:dyDescent="0.25">
      <c r="B8" s="49" t="s">
        <v>96</v>
      </c>
      <c r="C8" s="69" t="s">
        <v>33</v>
      </c>
      <c r="E8" s="53">
        <f>'Patient Share Model'!E34</f>
        <v>262.5</v>
      </c>
      <c r="F8" s="53">
        <f>'Patient Share Model'!F34</f>
        <v>179.15625</v>
      </c>
      <c r="G8" s="53">
        <f>'Patient Share Model'!G34</f>
        <v>122.27414062500002</v>
      </c>
      <c r="H8" s="53">
        <f>'Patient Share Model'!H34</f>
        <v>83.452100976562534</v>
      </c>
      <c r="I8" s="53">
        <f>'Patient Share Model'!I34</f>
        <v>56.956058916503942</v>
      </c>
      <c r="J8" s="53">
        <f>'Patient Share Model'!J34</f>
        <v>38.872510210513944</v>
      </c>
      <c r="K8" s="53">
        <f>'Patient Share Model'!K34</f>
        <v>26.530488218675764</v>
      </c>
      <c r="L8" s="53">
        <f>'Patient Share Model'!L34</f>
        <v>18.107058209246212</v>
      </c>
      <c r="M8" s="53">
        <f>'Patient Share Model'!M34</f>
        <v>12.358067227810542</v>
      </c>
      <c r="N8" s="53">
        <f>'Patient Share Model'!N34</f>
        <v>8.4343808829806957</v>
      </c>
      <c r="O8" s="53">
        <f>'Patient Share Model'!O34</f>
        <v>5.7564649526343254</v>
      </c>
      <c r="P8" s="53">
        <f>'Patient Share Model'!P34</f>
        <v>3.9287873301729275</v>
      </c>
      <c r="Q8" s="53">
        <f>'Patient Share Model'!Q34</f>
        <v>2.6813973528430228</v>
      </c>
      <c r="R8" s="53">
        <f>'Patient Share Model'!R34</f>
        <v>1.8300536933153633</v>
      </c>
      <c r="S8" s="53">
        <f>'Patient Share Model'!S34</f>
        <v>1.2490116456877356</v>
      </c>
      <c r="T8" s="53">
        <f>'Patient Share Model'!T34</f>
        <v>0.85245044818187954</v>
      </c>
    </row>
    <row r="9" spans="1:21" s="49" customFormat="1" x14ac:dyDescent="0.25">
      <c r="B9" s="49" t="s">
        <v>97</v>
      </c>
      <c r="C9" s="49" t="s">
        <v>19</v>
      </c>
      <c r="E9" s="49">
        <f>ASP_NP</f>
        <v>1000</v>
      </c>
      <c r="F9" s="53">
        <f t="shared" ref="F9:T9" si="0">E9*(1+ASP_Growth_NP)</f>
        <v>1030</v>
      </c>
      <c r="G9" s="53">
        <f t="shared" si="0"/>
        <v>1060.9000000000001</v>
      </c>
      <c r="H9" s="53">
        <f t="shared" si="0"/>
        <v>1092.7270000000001</v>
      </c>
      <c r="I9" s="53">
        <f t="shared" si="0"/>
        <v>1125.50881</v>
      </c>
      <c r="J9" s="53">
        <f t="shared" si="0"/>
        <v>1159.2740743000002</v>
      </c>
      <c r="K9" s="53">
        <f t="shared" si="0"/>
        <v>1194.0522965290002</v>
      </c>
      <c r="L9" s="53">
        <f t="shared" si="0"/>
        <v>1229.8738654248702</v>
      </c>
      <c r="M9" s="53">
        <f t="shared" si="0"/>
        <v>1266.7700813876163</v>
      </c>
      <c r="N9" s="53">
        <f t="shared" si="0"/>
        <v>1304.7731838292448</v>
      </c>
      <c r="O9" s="53">
        <f t="shared" si="0"/>
        <v>1343.9163793441221</v>
      </c>
      <c r="P9" s="53">
        <f t="shared" si="0"/>
        <v>1384.2338707244458</v>
      </c>
      <c r="Q9" s="53">
        <f t="shared" si="0"/>
        <v>1425.7608868461791</v>
      </c>
      <c r="R9" s="53">
        <f t="shared" si="0"/>
        <v>1468.5337134515646</v>
      </c>
      <c r="S9" s="53">
        <f t="shared" si="0"/>
        <v>1512.5897248551116</v>
      </c>
      <c r="T9" s="53">
        <f t="shared" si="0"/>
        <v>1557.9674166007651</v>
      </c>
    </row>
    <row r="10" spans="1:21" s="49" customFormat="1" x14ac:dyDescent="0.25">
      <c r="B10" s="49" t="s">
        <v>95</v>
      </c>
      <c r="C10" s="70" t="s">
        <v>98</v>
      </c>
      <c r="E10" s="71">
        <f>E8*E9</f>
        <v>262500</v>
      </c>
      <c r="F10" s="71">
        <f t="shared" ref="F10:T10" si="1">F8*F9</f>
        <v>184530.9375</v>
      </c>
      <c r="G10" s="71">
        <f t="shared" si="1"/>
        <v>129720.63578906252</v>
      </c>
      <c r="H10" s="71">
        <f t="shared" si="1"/>
        <v>91190.36394381625</v>
      </c>
      <c r="I10" s="71">
        <f t="shared" si="1"/>
        <v>64104.546093404242</v>
      </c>
      <c r="J10" s="71">
        <f t="shared" si="1"/>
        <v>45063.893290010856</v>
      </c>
      <c r="K10" s="71">
        <f t="shared" si="1"/>
        <v>31678.790385545377</v>
      </c>
      <c r="L10" s="71">
        <f t="shared" si="1"/>
        <v>22269.397671278766</v>
      </c>
      <c r="M10" s="71">
        <f t="shared" si="1"/>
        <v>15654.829827967194</v>
      </c>
      <c r="N10" s="71">
        <f t="shared" si="1"/>
        <v>11004.953998315239</v>
      </c>
      <c r="O10" s="71">
        <f t="shared" si="1"/>
        <v>7736.2075369656559</v>
      </c>
      <c r="P10" s="71">
        <f t="shared" si="1"/>
        <v>5438.3604932984326</v>
      </c>
      <c r="Q10" s="71">
        <f t="shared" si="1"/>
        <v>3823.0314677764654</v>
      </c>
      <c r="R10" s="71">
        <f t="shared" si="1"/>
        <v>2687.4955460601614</v>
      </c>
      <c r="S10" s="71">
        <f t="shared" si="1"/>
        <v>1889.2421814916422</v>
      </c>
      <c r="T10" s="71">
        <f t="shared" si="1"/>
        <v>1328.0900225340872</v>
      </c>
    </row>
    <row r="11" spans="1:21" s="49" customFormat="1" x14ac:dyDescent="0.25"/>
    <row r="12" spans="1:21" s="49" customFormat="1" x14ac:dyDescent="0.25">
      <c r="B12" s="49" t="s">
        <v>99</v>
      </c>
      <c r="C12" s="70" t="s">
        <v>98</v>
      </c>
      <c r="E12" s="72">
        <f t="shared" ref="E12:T12" si="2">-E10*COGS_NP</f>
        <v>-26250</v>
      </c>
      <c r="F12" s="72">
        <f t="shared" si="2"/>
        <v>-18453.09375</v>
      </c>
      <c r="G12" s="72">
        <f t="shared" si="2"/>
        <v>-12972.063578906253</v>
      </c>
      <c r="H12" s="72">
        <f t="shared" si="2"/>
        <v>-9119.0363943816246</v>
      </c>
      <c r="I12" s="72">
        <f t="shared" si="2"/>
        <v>-6410.4546093404242</v>
      </c>
      <c r="J12" s="72">
        <f t="shared" si="2"/>
        <v>-4506.3893290010856</v>
      </c>
      <c r="K12" s="72">
        <f t="shared" si="2"/>
        <v>-3167.8790385545381</v>
      </c>
      <c r="L12" s="72">
        <f t="shared" si="2"/>
        <v>-2226.9397671278766</v>
      </c>
      <c r="M12" s="72">
        <f t="shared" si="2"/>
        <v>-1565.4829827967196</v>
      </c>
      <c r="N12" s="72">
        <f t="shared" si="2"/>
        <v>-1100.4953998315239</v>
      </c>
      <c r="O12" s="72">
        <f t="shared" si="2"/>
        <v>-773.62075369656566</v>
      </c>
      <c r="P12" s="72">
        <f t="shared" si="2"/>
        <v>-543.83604932984326</v>
      </c>
      <c r="Q12" s="72">
        <f t="shared" si="2"/>
        <v>-382.30314677764659</v>
      </c>
      <c r="R12" s="72">
        <f t="shared" si="2"/>
        <v>-268.74955460601615</v>
      </c>
      <c r="S12" s="72">
        <f t="shared" si="2"/>
        <v>-188.92421814916423</v>
      </c>
      <c r="T12" s="72">
        <f t="shared" si="2"/>
        <v>-132.80900225340872</v>
      </c>
    </row>
    <row r="13" spans="1:21" s="49" customFormat="1" x14ac:dyDescent="0.25">
      <c r="B13" s="49" t="s">
        <v>100</v>
      </c>
      <c r="C13" s="70" t="s">
        <v>98</v>
      </c>
      <c r="E13" s="73">
        <f>E10+E12</f>
        <v>236250</v>
      </c>
      <c r="F13" s="73">
        <f t="shared" ref="F13:T13" si="3">F10+F12</f>
        <v>166077.84375</v>
      </c>
      <c r="G13" s="73">
        <f t="shared" si="3"/>
        <v>116748.57221015627</v>
      </c>
      <c r="H13" s="73">
        <f t="shared" si="3"/>
        <v>82071.327549434631</v>
      </c>
      <c r="I13" s="73">
        <f t="shared" si="3"/>
        <v>57694.091484063814</v>
      </c>
      <c r="J13" s="73">
        <f t="shared" si="3"/>
        <v>40557.503961009774</v>
      </c>
      <c r="K13" s="73">
        <f t="shared" si="3"/>
        <v>28510.911346990841</v>
      </c>
      <c r="L13" s="73">
        <f t="shared" si="3"/>
        <v>20042.457904150891</v>
      </c>
      <c r="M13" s="73">
        <f t="shared" si="3"/>
        <v>14089.346845170476</v>
      </c>
      <c r="N13" s="73">
        <f t="shared" si="3"/>
        <v>9904.4585984837158</v>
      </c>
      <c r="O13" s="73">
        <f t="shared" si="3"/>
        <v>6962.5867832690901</v>
      </c>
      <c r="P13" s="73">
        <f t="shared" si="3"/>
        <v>4894.5244439685894</v>
      </c>
      <c r="Q13" s="73">
        <f t="shared" si="3"/>
        <v>3440.7283209988191</v>
      </c>
      <c r="R13" s="73">
        <f t="shared" si="3"/>
        <v>2418.745991454145</v>
      </c>
      <c r="S13" s="73">
        <f t="shared" si="3"/>
        <v>1700.3179633424779</v>
      </c>
      <c r="T13" s="73">
        <f t="shared" si="3"/>
        <v>1195.2810202806786</v>
      </c>
    </row>
    <row r="14" spans="1:21" s="49" customFormat="1" x14ac:dyDescent="0.25"/>
    <row r="15" spans="1:21" s="49" customFormat="1" x14ac:dyDescent="0.25">
      <c r="B15" s="49" t="s">
        <v>103</v>
      </c>
      <c r="C15" s="70" t="s">
        <v>98</v>
      </c>
      <c r="E15" s="72">
        <f t="shared" ref="E15:T15" si="4">-E10*Marketing_Cost</f>
        <v>-26250</v>
      </c>
      <c r="F15" s="72">
        <f t="shared" si="4"/>
        <v>-18453.09375</v>
      </c>
      <c r="G15" s="72">
        <f t="shared" si="4"/>
        <v>-12972.063578906253</v>
      </c>
      <c r="H15" s="72">
        <f t="shared" si="4"/>
        <v>-9119.0363943816246</v>
      </c>
      <c r="I15" s="72">
        <f t="shared" si="4"/>
        <v>-6410.4546093404242</v>
      </c>
      <c r="J15" s="72">
        <f t="shared" si="4"/>
        <v>-4506.3893290010856</v>
      </c>
      <c r="K15" s="72">
        <f t="shared" si="4"/>
        <v>-3167.8790385545381</v>
      </c>
      <c r="L15" s="72">
        <f t="shared" si="4"/>
        <v>-2226.9397671278766</v>
      </c>
      <c r="M15" s="72">
        <f t="shared" si="4"/>
        <v>-1565.4829827967196</v>
      </c>
      <c r="N15" s="72">
        <f t="shared" si="4"/>
        <v>-1100.4953998315239</v>
      </c>
      <c r="O15" s="72">
        <f t="shared" si="4"/>
        <v>-773.62075369656566</v>
      </c>
      <c r="P15" s="72">
        <f t="shared" si="4"/>
        <v>-543.83604932984326</v>
      </c>
      <c r="Q15" s="72">
        <f t="shared" si="4"/>
        <v>-382.30314677764659</v>
      </c>
      <c r="R15" s="72">
        <f t="shared" si="4"/>
        <v>-268.74955460601615</v>
      </c>
      <c r="S15" s="72">
        <f t="shared" si="4"/>
        <v>-188.92421814916423</v>
      </c>
      <c r="T15" s="72">
        <f t="shared" si="4"/>
        <v>-132.80900225340872</v>
      </c>
    </row>
    <row r="16" spans="1:21" s="49" customFormat="1" x14ac:dyDescent="0.25">
      <c r="B16" s="49" t="s">
        <v>104</v>
      </c>
      <c r="C16" s="70" t="s">
        <v>98</v>
      </c>
      <c r="E16" s="74">
        <f>-IF(DPL_InitDec=1,Addl_Mkting_Cost*'Cash Flow'!E10,IF('Cash Flow'!E5&gt;=Yr_Delay_LCM,Addl_Mkting_Cost*'Cash Flow'!E10,0))</f>
        <v>0</v>
      </c>
      <c r="F16" s="74">
        <f>-IF(DPL_InitDec=1,Addl_Mkting_Cost*'Cash Flow'!F10,IF('Cash Flow'!F5&gt;=Yr_Delay_LCM,Addl_Mkting_Cost*'Cash Flow'!F10,0))</f>
        <v>0</v>
      </c>
      <c r="G16" s="74">
        <f>-IF(DPL_InitDec=1,Addl_Mkting_Cost*'Cash Flow'!G10,IF('Cash Flow'!G5&gt;=Yr_Delay_LCM,Addl_Mkting_Cost*'Cash Flow'!G10,0))</f>
        <v>0</v>
      </c>
      <c r="H16" s="74">
        <f>-IF(DPL_InitDec=1,Addl_Mkting_Cost*'Cash Flow'!H10,IF('Cash Flow'!H5&gt;=Yr_Delay_LCM,Addl_Mkting_Cost*'Cash Flow'!H10,0))</f>
        <v>0</v>
      </c>
      <c r="I16" s="74">
        <f>-IF(DPL_InitDec=1,Addl_Mkting_Cost*'Cash Flow'!I10,IF('Cash Flow'!I5&gt;=Yr_Delay_LCM,Addl_Mkting_Cost*'Cash Flow'!I10,0))</f>
        <v>0</v>
      </c>
      <c r="J16" s="74">
        <f>-IF(DPL_InitDec=1,Addl_Mkting_Cost*'Cash Flow'!J10,IF('Cash Flow'!J5&gt;=Yr_Delay_LCM,Addl_Mkting_Cost*'Cash Flow'!J10,0))</f>
        <v>0</v>
      </c>
      <c r="K16" s="74">
        <f>-IF(DPL_InitDec=1,Addl_Mkting_Cost*'Cash Flow'!K10,IF('Cash Flow'!K5&gt;=Yr_Delay_LCM,Addl_Mkting_Cost*'Cash Flow'!K10,0))</f>
        <v>0</v>
      </c>
      <c r="L16" s="74">
        <f>-IF(DPL_InitDec=1,Addl_Mkting_Cost*'Cash Flow'!L10,IF('Cash Flow'!L5&gt;=Yr_Delay_LCM,Addl_Mkting_Cost*'Cash Flow'!L10,0))</f>
        <v>0</v>
      </c>
      <c r="M16" s="74">
        <f>-IF(DPL_InitDec=1,Addl_Mkting_Cost*'Cash Flow'!M10,IF('Cash Flow'!M5&gt;=Yr_Delay_LCM,Addl_Mkting_Cost*'Cash Flow'!M10,0))</f>
        <v>0</v>
      </c>
      <c r="N16" s="74">
        <f>-IF(DPL_InitDec=1,Addl_Mkting_Cost*'Cash Flow'!N10,IF('Cash Flow'!N5&gt;=Yr_Delay_LCM,Addl_Mkting_Cost*'Cash Flow'!N10,0))</f>
        <v>0</v>
      </c>
      <c r="O16" s="74">
        <f>-IF(DPL_InitDec=1,Addl_Mkting_Cost*'Cash Flow'!O10,IF('Cash Flow'!O5&gt;=Yr_Delay_LCM,Addl_Mkting_Cost*'Cash Flow'!O10,0))</f>
        <v>0</v>
      </c>
      <c r="P16" s="74">
        <f>-IF(DPL_InitDec=1,Addl_Mkting_Cost*'Cash Flow'!P10,IF('Cash Flow'!P5&gt;=Yr_Delay_LCM,Addl_Mkting_Cost*'Cash Flow'!P10,0))</f>
        <v>0</v>
      </c>
      <c r="Q16" s="74">
        <f>-IF(DPL_InitDec=1,Addl_Mkting_Cost*'Cash Flow'!Q10,IF('Cash Flow'!Q5&gt;=Yr_Delay_LCM,Addl_Mkting_Cost*'Cash Flow'!Q10,0))</f>
        <v>0</v>
      </c>
      <c r="R16" s="74">
        <f>-IF(DPL_InitDec=1,Addl_Mkting_Cost*'Cash Flow'!R10,IF('Cash Flow'!R5&gt;=Yr_Delay_LCM,Addl_Mkting_Cost*'Cash Flow'!R10,0))</f>
        <v>0</v>
      </c>
      <c r="S16" s="74">
        <f>-IF(DPL_InitDec=1,Addl_Mkting_Cost*'Cash Flow'!S10,IF('Cash Flow'!S5&gt;=Yr_Delay_LCM,Addl_Mkting_Cost*'Cash Flow'!S10,0))</f>
        <v>0</v>
      </c>
      <c r="T16" s="74">
        <f>-IF(DPL_InitDec=1,Addl_Mkting_Cost*'Cash Flow'!T10,IF('Cash Flow'!T5&gt;=Yr_Delay_LCM,Addl_Mkting_Cost*'Cash Flow'!T10,0))</f>
        <v>0</v>
      </c>
    </row>
    <row r="17" spans="1:21" s="49" customFormat="1" x14ac:dyDescent="0.25">
      <c r="B17" s="49" t="s">
        <v>105</v>
      </c>
      <c r="C17" s="70" t="s">
        <v>98</v>
      </c>
      <c r="E17" s="72">
        <f>SUM(E15:E16)</f>
        <v>-26250</v>
      </c>
      <c r="F17" s="72">
        <f t="shared" ref="F17:R17" si="5">SUM(F15:F16)</f>
        <v>-18453.09375</v>
      </c>
      <c r="G17" s="72">
        <f t="shared" si="5"/>
        <v>-12972.063578906253</v>
      </c>
      <c r="H17" s="72">
        <f t="shared" si="5"/>
        <v>-9119.0363943816246</v>
      </c>
      <c r="I17" s="72">
        <f t="shared" si="5"/>
        <v>-6410.4546093404242</v>
      </c>
      <c r="J17" s="72">
        <f t="shared" si="5"/>
        <v>-4506.3893290010856</v>
      </c>
      <c r="K17" s="72">
        <f t="shared" si="5"/>
        <v>-3167.8790385545381</v>
      </c>
      <c r="L17" s="72">
        <f t="shared" si="5"/>
        <v>-2226.9397671278766</v>
      </c>
      <c r="M17" s="72">
        <f t="shared" si="5"/>
        <v>-1565.4829827967196</v>
      </c>
      <c r="N17" s="72">
        <f t="shared" si="5"/>
        <v>-1100.4953998315239</v>
      </c>
      <c r="O17" s="72">
        <f t="shared" si="5"/>
        <v>-773.62075369656566</v>
      </c>
      <c r="P17" s="72">
        <f t="shared" si="5"/>
        <v>-543.83604932984326</v>
      </c>
      <c r="Q17" s="72">
        <f t="shared" si="5"/>
        <v>-382.30314677764659</v>
      </c>
      <c r="R17" s="72">
        <f t="shared" si="5"/>
        <v>-268.74955460601615</v>
      </c>
      <c r="S17" s="72">
        <f>SUM(S15:S16)</f>
        <v>-188.92421814916423</v>
      </c>
      <c r="T17" s="72">
        <f>SUM(T15:T16)</f>
        <v>-132.80900225340872</v>
      </c>
    </row>
    <row r="18" spans="1:21" s="49" customFormat="1" x14ac:dyDescent="0.25"/>
    <row r="19" spans="1:21" s="49" customFormat="1" x14ac:dyDescent="0.25">
      <c r="B19" s="49" t="s">
        <v>106</v>
      </c>
      <c r="C19" s="70" t="s">
        <v>98</v>
      </c>
      <c r="E19" s="73">
        <f>E13+E17</f>
        <v>210000</v>
      </c>
      <c r="F19" s="73">
        <f t="shared" ref="F19:T19" si="6">F13+F17</f>
        <v>147624.75</v>
      </c>
      <c r="G19" s="73">
        <f t="shared" si="6"/>
        <v>103776.50863125002</v>
      </c>
      <c r="H19" s="73">
        <f t="shared" si="6"/>
        <v>72952.291155053012</v>
      </c>
      <c r="I19" s="73">
        <f t="shared" si="6"/>
        <v>51283.636874723394</v>
      </c>
      <c r="J19" s="73">
        <f t="shared" si="6"/>
        <v>36051.114632008685</v>
      </c>
      <c r="K19" s="73">
        <f t="shared" si="6"/>
        <v>25343.032308436304</v>
      </c>
      <c r="L19" s="73">
        <f t="shared" si="6"/>
        <v>17815.518137023013</v>
      </c>
      <c r="M19" s="73">
        <f t="shared" si="6"/>
        <v>12523.863862373757</v>
      </c>
      <c r="N19" s="73">
        <f t="shared" si="6"/>
        <v>8803.9631986521927</v>
      </c>
      <c r="O19" s="73">
        <f t="shared" si="6"/>
        <v>6188.9660295725243</v>
      </c>
      <c r="P19" s="73">
        <f t="shared" si="6"/>
        <v>4350.6883946387461</v>
      </c>
      <c r="Q19" s="73">
        <f t="shared" si="6"/>
        <v>3058.4251742211727</v>
      </c>
      <c r="R19" s="73">
        <f t="shared" si="6"/>
        <v>2149.9964368481287</v>
      </c>
      <c r="S19" s="73">
        <f t="shared" si="6"/>
        <v>1511.3937451933136</v>
      </c>
      <c r="T19" s="73">
        <f t="shared" si="6"/>
        <v>1062.4720180272698</v>
      </c>
    </row>
    <row r="20" spans="1:21" s="49" customFormat="1" x14ac:dyDescent="0.25"/>
    <row r="21" spans="1:21" s="49" customFormat="1" x14ac:dyDescent="0.25">
      <c r="B21" s="49" t="s">
        <v>107</v>
      </c>
      <c r="C21" s="70" t="s">
        <v>98</v>
      </c>
      <c r="E21" s="75">
        <f>-Tax_Rate*'Cash Flow'!E19</f>
        <v>-84000</v>
      </c>
      <c r="F21" s="75">
        <f>-Tax_Rate*'Cash Flow'!F19</f>
        <v>-59049.9</v>
      </c>
      <c r="G21" s="75">
        <f>-Tax_Rate*'Cash Flow'!G19</f>
        <v>-41510.603452500014</v>
      </c>
      <c r="H21" s="75">
        <f>-Tax_Rate*'Cash Flow'!H19</f>
        <v>-29180.916462021207</v>
      </c>
      <c r="I21" s="75">
        <f>-Tax_Rate*'Cash Flow'!I19</f>
        <v>-20513.454749889359</v>
      </c>
      <c r="J21" s="75">
        <f>-Tax_Rate*'Cash Flow'!J19</f>
        <v>-14420.445852803474</v>
      </c>
      <c r="K21" s="75">
        <f>-Tax_Rate*'Cash Flow'!K19</f>
        <v>-10137.212923374522</v>
      </c>
      <c r="L21" s="75">
        <f>-Tax_Rate*'Cash Flow'!L19</f>
        <v>-7126.2072548092056</v>
      </c>
      <c r="M21" s="75">
        <f>-Tax_Rate*'Cash Flow'!M19</f>
        <v>-5009.545544949503</v>
      </c>
      <c r="N21" s="75">
        <f>-Tax_Rate*'Cash Flow'!N19</f>
        <v>-3521.5852794608772</v>
      </c>
      <c r="O21" s="75">
        <f>-Tax_Rate*'Cash Flow'!O19</f>
        <v>-2475.5864118290101</v>
      </c>
      <c r="P21" s="75">
        <f>-Tax_Rate*'Cash Flow'!P19</f>
        <v>-1740.2753578554984</v>
      </c>
      <c r="Q21" s="75">
        <f>-Tax_Rate*'Cash Flow'!Q19</f>
        <v>-1223.3700696884691</v>
      </c>
      <c r="R21" s="75">
        <f>-Tax_Rate*'Cash Flow'!R19</f>
        <v>-859.99857473925158</v>
      </c>
      <c r="S21" s="75">
        <f>-Tax_Rate*'Cash Flow'!S19</f>
        <v>-604.55749807732548</v>
      </c>
      <c r="T21" s="75">
        <f>-Tax_Rate*'Cash Flow'!T19</f>
        <v>-424.98880721090791</v>
      </c>
    </row>
    <row r="22" spans="1:21" s="49" customFormat="1" x14ac:dyDescent="0.25">
      <c r="B22" s="49" t="s">
        <v>108</v>
      </c>
      <c r="C22" s="70" t="s">
        <v>98</v>
      </c>
      <c r="E22" s="73">
        <f>E19+E21</f>
        <v>126000</v>
      </c>
      <c r="F22" s="73">
        <f t="shared" ref="F22:T22" si="7">F19+F21</f>
        <v>88574.85</v>
      </c>
      <c r="G22" s="73">
        <f t="shared" si="7"/>
        <v>62265.905178750007</v>
      </c>
      <c r="H22" s="73">
        <f t="shared" si="7"/>
        <v>43771.374693031801</v>
      </c>
      <c r="I22" s="73">
        <f t="shared" si="7"/>
        <v>30770.182124834035</v>
      </c>
      <c r="J22" s="73">
        <f t="shared" si="7"/>
        <v>21630.668779205211</v>
      </c>
      <c r="K22" s="73">
        <f t="shared" si="7"/>
        <v>15205.819385061783</v>
      </c>
      <c r="L22" s="73">
        <f t="shared" si="7"/>
        <v>10689.310882213807</v>
      </c>
      <c r="M22" s="73">
        <f t="shared" si="7"/>
        <v>7514.318317424254</v>
      </c>
      <c r="N22" s="73">
        <f t="shared" si="7"/>
        <v>5282.3779191913154</v>
      </c>
      <c r="O22" s="73">
        <f t="shared" si="7"/>
        <v>3713.3796177435142</v>
      </c>
      <c r="P22" s="73">
        <f t="shared" si="7"/>
        <v>2610.4130367832477</v>
      </c>
      <c r="Q22" s="73">
        <f t="shared" si="7"/>
        <v>1835.0551045327036</v>
      </c>
      <c r="R22" s="73">
        <f t="shared" si="7"/>
        <v>1289.9978621088771</v>
      </c>
      <c r="S22" s="73">
        <f t="shared" si="7"/>
        <v>906.83624711598816</v>
      </c>
      <c r="T22" s="73">
        <f t="shared" si="7"/>
        <v>637.48321081636186</v>
      </c>
    </row>
    <row r="23" spans="1:21" s="49" customFormat="1" x14ac:dyDescent="0.25"/>
    <row r="24" spans="1:21" s="77" customFormat="1" ht="16.5" x14ac:dyDescent="0.3">
      <c r="A24" s="76"/>
      <c r="B24" s="67" t="s">
        <v>83</v>
      </c>
    </row>
    <row r="25" spans="1:21" s="50" customFormat="1" ht="12.7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49" customFormat="1" x14ac:dyDescent="0.25"/>
    <row r="27" spans="1:21" s="49" customFormat="1" x14ac:dyDescent="0.25">
      <c r="B27" s="49" t="s">
        <v>109</v>
      </c>
      <c r="C27" s="70" t="s">
        <v>98</v>
      </c>
      <c r="E27" s="49">
        <f>IF(DPL_InitDec=2,-0.001*Cash_Upfront,0)</f>
        <v>-10000</v>
      </c>
    </row>
    <row r="28" spans="1:21" s="49" customFormat="1" x14ac:dyDescent="0.25"/>
    <row r="29" spans="1:21" s="49" customFormat="1" x14ac:dyDescent="0.25">
      <c r="B29" s="49" t="s">
        <v>110</v>
      </c>
      <c r="C29" s="69" t="s">
        <v>33</v>
      </c>
      <c r="E29" s="53">
        <f>'Patient Share Model'!E35</f>
        <v>0</v>
      </c>
      <c r="F29" s="53">
        <f>'Patient Share Model'!F35</f>
        <v>0</v>
      </c>
      <c r="G29" s="53">
        <f>'Patient Share Model'!G35</f>
        <v>0</v>
      </c>
      <c r="H29" s="53">
        <f>'Patient Share Model'!H35</f>
        <v>0</v>
      </c>
      <c r="I29" s="53">
        <f>'Patient Share Model'!I35</f>
        <v>0</v>
      </c>
      <c r="J29" s="53">
        <f>'Patient Share Model'!J35</f>
        <v>0</v>
      </c>
      <c r="K29" s="53">
        <f>'Patient Share Model'!K35</f>
        <v>0</v>
      </c>
      <c r="L29" s="53">
        <f>'Patient Share Model'!L35</f>
        <v>0</v>
      </c>
      <c r="M29" s="53">
        <f>'Patient Share Model'!M35</f>
        <v>0</v>
      </c>
      <c r="N29" s="53">
        <f>'Patient Share Model'!N35</f>
        <v>0</v>
      </c>
      <c r="O29" s="53">
        <f>'Patient Share Model'!O35</f>
        <v>0</v>
      </c>
      <c r="P29" s="53">
        <f>'Patient Share Model'!P35</f>
        <v>0</v>
      </c>
      <c r="Q29" s="53">
        <f>'Patient Share Model'!Q35</f>
        <v>0</v>
      </c>
      <c r="R29" s="53">
        <f>'Patient Share Model'!R35</f>
        <v>0</v>
      </c>
      <c r="S29" s="53">
        <f>'Patient Share Model'!S35</f>
        <v>0</v>
      </c>
      <c r="T29" s="53">
        <f>'Patient Share Model'!T35</f>
        <v>0</v>
      </c>
    </row>
    <row r="30" spans="1:21" s="49" customFormat="1" x14ac:dyDescent="0.25">
      <c r="B30" s="49" t="s">
        <v>111</v>
      </c>
      <c r="C30" s="49" t="s">
        <v>19</v>
      </c>
      <c r="E30" s="49">
        <f>ASP_SBP</f>
        <v>1600</v>
      </c>
      <c r="F30" s="53">
        <f t="shared" ref="F30:T30" si="8">E30*(1+ASP_Growth_NP)</f>
        <v>1648</v>
      </c>
      <c r="G30" s="53">
        <f t="shared" si="8"/>
        <v>1697.44</v>
      </c>
      <c r="H30" s="53">
        <f t="shared" si="8"/>
        <v>1748.3632</v>
      </c>
      <c r="I30" s="53">
        <f t="shared" si="8"/>
        <v>1800.8140960000001</v>
      </c>
      <c r="J30" s="53">
        <f t="shared" si="8"/>
        <v>1854.83851888</v>
      </c>
      <c r="K30" s="53">
        <f t="shared" si="8"/>
        <v>1910.4836744464001</v>
      </c>
      <c r="L30" s="53">
        <f t="shared" si="8"/>
        <v>1967.798184679792</v>
      </c>
      <c r="M30" s="53">
        <f t="shared" si="8"/>
        <v>2026.8321302201859</v>
      </c>
      <c r="N30" s="53">
        <f t="shared" si="8"/>
        <v>2087.6370941267915</v>
      </c>
      <c r="O30" s="53">
        <f t="shared" si="8"/>
        <v>2150.2662069505955</v>
      </c>
      <c r="P30" s="53">
        <f t="shared" si="8"/>
        <v>2214.7741931591136</v>
      </c>
      <c r="Q30" s="53">
        <f t="shared" si="8"/>
        <v>2281.2174189538869</v>
      </c>
      <c r="R30" s="53">
        <f t="shared" si="8"/>
        <v>2349.6539415225034</v>
      </c>
      <c r="S30" s="53">
        <f t="shared" si="8"/>
        <v>2420.1435597681784</v>
      </c>
      <c r="T30" s="53">
        <f t="shared" si="8"/>
        <v>2492.7478665612239</v>
      </c>
    </row>
    <row r="31" spans="1:21" s="49" customFormat="1" x14ac:dyDescent="0.25">
      <c r="B31" s="49" t="s">
        <v>112</v>
      </c>
      <c r="C31" s="70" t="s">
        <v>98</v>
      </c>
      <c r="E31" s="71">
        <f>E29*E30</f>
        <v>0</v>
      </c>
      <c r="F31" s="71">
        <f t="shared" ref="F31:T31" si="9">F29*F30</f>
        <v>0</v>
      </c>
      <c r="G31" s="71">
        <f t="shared" si="9"/>
        <v>0</v>
      </c>
      <c r="H31" s="71">
        <f t="shared" si="9"/>
        <v>0</v>
      </c>
      <c r="I31" s="71">
        <f t="shared" si="9"/>
        <v>0</v>
      </c>
      <c r="J31" s="71">
        <f t="shared" si="9"/>
        <v>0</v>
      </c>
      <c r="K31" s="71">
        <f t="shared" si="9"/>
        <v>0</v>
      </c>
      <c r="L31" s="71">
        <f t="shared" si="9"/>
        <v>0</v>
      </c>
      <c r="M31" s="71">
        <f t="shared" si="9"/>
        <v>0</v>
      </c>
      <c r="N31" s="71">
        <f t="shared" si="9"/>
        <v>0</v>
      </c>
      <c r="O31" s="71">
        <f t="shared" si="9"/>
        <v>0</v>
      </c>
      <c r="P31" s="71">
        <f t="shared" si="9"/>
        <v>0</v>
      </c>
      <c r="Q31" s="71">
        <f t="shared" si="9"/>
        <v>0</v>
      </c>
      <c r="R31" s="71">
        <f t="shared" si="9"/>
        <v>0</v>
      </c>
      <c r="S31" s="71">
        <f t="shared" si="9"/>
        <v>0</v>
      </c>
      <c r="T31" s="71">
        <f t="shared" si="9"/>
        <v>0</v>
      </c>
    </row>
    <row r="32" spans="1:21" s="49" customFormat="1" x14ac:dyDescent="0.25"/>
    <row r="33" spans="1:21" s="49" customFormat="1" x14ac:dyDescent="0.25">
      <c r="B33" s="49" t="s">
        <v>113</v>
      </c>
      <c r="C33" s="70" t="s">
        <v>98</v>
      </c>
      <c r="E33" s="71">
        <f>IF(DPL_InitDec=2,'Cash Flow'!E31*Royalty,0)</f>
        <v>0</v>
      </c>
      <c r="F33" s="71">
        <f>IF(DPL_InitDec=2,'Cash Flow'!F31*Royalty,0)</f>
        <v>0</v>
      </c>
      <c r="G33" s="71">
        <f>IF(DPL_InitDec=2,'Cash Flow'!G31*Royalty,0)</f>
        <v>0</v>
      </c>
      <c r="H33" s="71">
        <f>IF(DPL_InitDec=2,'Cash Flow'!H31*Royalty,0)</f>
        <v>0</v>
      </c>
      <c r="I33" s="71">
        <f>IF(DPL_InitDec=2,'Cash Flow'!I31*Royalty,0)</f>
        <v>0</v>
      </c>
      <c r="J33" s="71">
        <f>IF(DPL_InitDec=2,'Cash Flow'!J31*Royalty,0)</f>
        <v>0</v>
      </c>
      <c r="K33" s="71">
        <f>IF(DPL_InitDec=2,'Cash Flow'!K31*Royalty,0)</f>
        <v>0</v>
      </c>
      <c r="L33" s="71">
        <f>IF(DPL_InitDec=2,'Cash Flow'!L31*Royalty,0)</f>
        <v>0</v>
      </c>
      <c r="M33" s="71">
        <f>IF(DPL_InitDec=2,'Cash Flow'!M31*Royalty,0)</f>
        <v>0</v>
      </c>
      <c r="N33" s="71">
        <f>IF(DPL_InitDec=2,'Cash Flow'!N31*Royalty,0)</f>
        <v>0</v>
      </c>
      <c r="O33" s="71">
        <f>IF(DPL_InitDec=2,'Cash Flow'!O31*Royalty,0)</f>
        <v>0</v>
      </c>
      <c r="P33" s="71">
        <f>IF(DPL_InitDec=2,'Cash Flow'!P31*Royalty,0)</f>
        <v>0</v>
      </c>
      <c r="Q33" s="71">
        <f>IF(DPL_InitDec=2,'Cash Flow'!Q31*Royalty,0)</f>
        <v>0</v>
      </c>
      <c r="R33" s="71">
        <f>IF(DPL_InitDec=2,'Cash Flow'!R31*Royalty,0)</f>
        <v>0</v>
      </c>
      <c r="S33" s="71">
        <f>IF(DPL_InitDec=2,'Cash Flow'!S31*Royalty,0)</f>
        <v>0</v>
      </c>
      <c r="T33" s="71">
        <f>IF(DPL_InitDec=2,'Cash Flow'!T31*Royalty,0)</f>
        <v>0</v>
      </c>
    </row>
    <row r="34" spans="1:21" s="49" customFormat="1" x14ac:dyDescent="0.25"/>
    <row r="35" spans="1:21" s="49" customFormat="1" x14ac:dyDescent="0.25">
      <c r="B35" s="49" t="s">
        <v>115</v>
      </c>
      <c r="C35" s="70" t="s">
        <v>98</v>
      </c>
      <c r="E35" s="72">
        <f t="shared" ref="E35:T35" si="10">IF(DPL_InitDec=2,-E31*SM_SBP,0)</f>
        <v>0</v>
      </c>
      <c r="F35" s="72">
        <f t="shared" si="10"/>
        <v>0</v>
      </c>
      <c r="G35" s="72">
        <f t="shared" si="10"/>
        <v>0</v>
      </c>
      <c r="H35" s="72">
        <f t="shared" si="10"/>
        <v>0</v>
      </c>
      <c r="I35" s="72">
        <f t="shared" si="10"/>
        <v>0</v>
      </c>
      <c r="J35" s="72">
        <f t="shared" si="10"/>
        <v>0</v>
      </c>
      <c r="K35" s="72">
        <f t="shared" si="10"/>
        <v>0</v>
      </c>
      <c r="L35" s="72">
        <f t="shared" si="10"/>
        <v>0</v>
      </c>
      <c r="M35" s="72">
        <f t="shared" si="10"/>
        <v>0</v>
      </c>
      <c r="N35" s="72">
        <f t="shared" si="10"/>
        <v>0</v>
      </c>
      <c r="O35" s="72">
        <f t="shared" si="10"/>
        <v>0</v>
      </c>
      <c r="P35" s="72">
        <f t="shared" si="10"/>
        <v>0</v>
      </c>
      <c r="Q35" s="72">
        <f t="shared" si="10"/>
        <v>0</v>
      </c>
      <c r="R35" s="72">
        <f t="shared" si="10"/>
        <v>0</v>
      </c>
      <c r="S35" s="72">
        <f t="shared" si="10"/>
        <v>0</v>
      </c>
      <c r="T35" s="72">
        <f t="shared" si="10"/>
        <v>0</v>
      </c>
    </row>
    <row r="36" spans="1:21" s="49" customFormat="1" x14ac:dyDescent="0.25"/>
    <row r="37" spans="1:21" s="49" customFormat="1" x14ac:dyDescent="0.25">
      <c r="B37" s="49" t="s">
        <v>106</v>
      </c>
      <c r="C37" s="70" t="s">
        <v>98</v>
      </c>
      <c r="E37" s="73">
        <f>E27+E33+E35</f>
        <v>-10000</v>
      </c>
      <c r="F37" s="73">
        <f>F33+F35</f>
        <v>0</v>
      </c>
      <c r="G37" s="73">
        <f t="shared" ref="G37:T37" si="11">G33+G35</f>
        <v>0</v>
      </c>
      <c r="H37" s="73">
        <f t="shared" si="11"/>
        <v>0</v>
      </c>
      <c r="I37" s="73">
        <f t="shared" si="11"/>
        <v>0</v>
      </c>
      <c r="J37" s="73">
        <f t="shared" si="11"/>
        <v>0</v>
      </c>
      <c r="K37" s="73">
        <f t="shared" si="11"/>
        <v>0</v>
      </c>
      <c r="L37" s="73">
        <f t="shared" si="11"/>
        <v>0</v>
      </c>
      <c r="M37" s="73">
        <f t="shared" si="11"/>
        <v>0</v>
      </c>
      <c r="N37" s="73">
        <f t="shared" si="11"/>
        <v>0</v>
      </c>
      <c r="O37" s="73">
        <f t="shared" si="11"/>
        <v>0</v>
      </c>
      <c r="P37" s="73">
        <f t="shared" si="11"/>
        <v>0</v>
      </c>
      <c r="Q37" s="73">
        <f t="shared" si="11"/>
        <v>0</v>
      </c>
      <c r="R37" s="73">
        <f t="shared" si="11"/>
        <v>0</v>
      </c>
      <c r="S37" s="73">
        <f t="shared" si="11"/>
        <v>0</v>
      </c>
      <c r="T37" s="73">
        <f t="shared" si="11"/>
        <v>0</v>
      </c>
    </row>
    <row r="38" spans="1:21" s="49" customFormat="1" x14ac:dyDescent="0.25"/>
    <row r="39" spans="1:21" s="49" customFormat="1" x14ac:dyDescent="0.25">
      <c r="B39" s="49" t="s">
        <v>107</v>
      </c>
      <c r="C39" s="70" t="s">
        <v>98</v>
      </c>
      <c r="E39" s="72">
        <f>-Tax_Rate*'Cash Flow'!E37</f>
        <v>4000</v>
      </c>
      <c r="F39" s="72">
        <f>-Tax_Rate*'Cash Flow'!F37</f>
        <v>0</v>
      </c>
      <c r="G39" s="72">
        <f>-Tax_Rate*'Cash Flow'!G37</f>
        <v>0</v>
      </c>
      <c r="H39" s="72">
        <f>-Tax_Rate*'Cash Flow'!H37</f>
        <v>0</v>
      </c>
      <c r="I39" s="72">
        <f>-Tax_Rate*'Cash Flow'!I37</f>
        <v>0</v>
      </c>
      <c r="J39" s="72">
        <f>-Tax_Rate*'Cash Flow'!J37</f>
        <v>0</v>
      </c>
      <c r="K39" s="72">
        <f>-Tax_Rate*'Cash Flow'!K37</f>
        <v>0</v>
      </c>
      <c r="L39" s="72">
        <f>-Tax_Rate*'Cash Flow'!L37</f>
        <v>0</v>
      </c>
      <c r="M39" s="72">
        <f>-Tax_Rate*'Cash Flow'!M37</f>
        <v>0</v>
      </c>
      <c r="N39" s="72">
        <f>-Tax_Rate*'Cash Flow'!N37</f>
        <v>0</v>
      </c>
      <c r="O39" s="72">
        <f>-Tax_Rate*'Cash Flow'!O37</f>
        <v>0</v>
      </c>
      <c r="P39" s="72">
        <f>-Tax_Rate*'Cash Flow'!P37</f>
        <v>0</v>
      </c>
      <c r="Q39" s="72">
        <f>-Tax_Rate*'Cash Flow'!Q37</f>
        <v>0</v>
      </c>
      <c r="R39" s="72">
        <f>-Tax_Rate*'Cash Flow'!R37</f>
        <v>0</v>
      </c>
      <c r="S39" s="72">
        <f>-Tax_Rate*'Cash Flow'!S37</f>
        <v>0</v>
      </c>
      <c r="T39" s="72">
        <f>-Tax_Rate*'Cash Flow'!T37</f>
        <v>0</v>
      </c>
    </row>
    <row r="40" spans="1:21" s="49" customFormat="1" x14ac:dyDescent="0.25">
      <c r="B40" s="49" t="s">
        <v>108</v>
      </c>
      <c r="C40" s="70" t="s">
        <v>98</v>
      </c>
      <c r="E40" s="73">
        <f t="shared" ref="E40:T40" si="12">E37+E39</f>
        <v>-6000</v>
      </c>
      <c r="F40" s="73">
        <f t="shared" si="12"/>
        <v>0</v>
      </c>
      <c r="G40" s="73">
        <f t="shared" si="12"/>
        <v>0</v>
      </c>
      <c r="H40" s="73">
        <f t="shared" si="12"/>
        <v>0</v>
      </c>
      <c r="I40" s="73">
        <f t="shared" si="12"/>
        <v>0</v>
      </c>
      <c r="J40" s="73">
        <f t="shared" si="12"/>
        <v>0</v>
      </c>
      <c r="K40" s="73">
        <f t="shared" si="12"/>
        <v>0</v>
      </c>
      <c r="L40" s="73">
        <f t="shared" si="12"/>
        <v>0</v>
      </c>
      <c r="M40" s="73">
        <f t="shared" si="12"/>
        <v>0</v>
      </c>
      <c r="N40" s="73">
        <f t="shared" si="12"/>
        <v>0</v>
      </c>
      <c r="O40" s="73">
        <f t="shared" si="12"/>
        <v>0</v>
      </c>
      <c r="P40" s="73">
        <f t="shared" si="12"/>
        <v>0</v>
      </c>
      <c r="Q40" s="73">
        <f t="shared" si="12"/>
        <v>0</v>
      </c>
      <c r="R40" s="73">
        <f t="shared" si="12"/>
        <v>0</v>
      </c>
      <c r="S40" s="73">
        <f t="shared" si="12"/>
        <v>0</v>
      </c>
      <c r="T40" s="73">
        <f t="shared" si="12"/>
        <v>0</v>
      </c>
    </row>
    <row r="41" spans="1:21" s="49" customFormat="1" x14ac:dyDescent="0.25"/>
    <row r="42" spans="1:21" s="78" customFormat="1" ht="16.5" x14ac:dyDescent="0.3">
      <c r="B42" s="61" t="s">
        <v>90</v>
      </c>
    </row>
    <row r="43" spans="1:21" s="50" customFormat="1" ht="12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s="49" customFormat="1" x14ac:dyDescent="0.25"/>
    <row r="45" spans="1:21" s="49" customFormat="1" x14ac:dyDescent="0.25">
      <c r="B45" s="49" t="s">
        <v>91</v>
      </c>
      <c r="E45" s="73">
        <f t="shared" ref="E45:T45" si="13">(E22+E40)*0.001</f>
        <v>120</v>
      </c>
      <c r="F45" s="73">
        <f t="shared" si="13"/>
        <v>88.574850000000012</v>
      </c>
      <c r="G45" s="73">
        <f t="shared" si="13"/>
        <v>62.26590517875001</v>
      </c>
      <c r="H45" s="73">
        <f t="shared" si="13"/>
        <v>43.771374693031802</v>
      </c>
      <c r="I45" s="73">
        <f t="shared" si="13"/>
        <v>30.770182124834037</v>
      </c>
      <c r="J45" s="73">
        <f t="shared" si="13"/>
        <v>21.630668779205212</v>
      </c>
      <c r="K45" s="73">
        <f t="shared" si="13"/>
        <v>15.205819385061783</v>
      </c>
      <c r="L45" s="73">
        <f t="shared" si="13"/>
        <v>10.689310882213807</v>
      </c>
      <c r="M45" s="73">
        <f t="shared" si="13"/>
        <v>7.5143183174242543</v>
      </c>
      <c r="N45" s="73">
        <f t="shared" si="13"/>
        <v>5.2823779191913154</v>
      </c>
      <c r="O45" s="73">
        <f t="shared" si="13"/>
        <v>3.7133796177435143</v>
      </c>
      <c r="P45" s="73">
        <f t="shared" si="13"/>
        <v>2.6104130367832479</v>
      </c>
      <c r="Q45" s="73">
        <f t="shared" si="13"/>
        <v>1.8350551045327037</v>
      </c>
      <c r="R45" s="73">
        <f t="shared" si="13"/>
        <v>1.2899978621088772</v>
      </c>
      <c r="S45" s="73">
        <f t="shared" si="13"/>
        <v>0.9068362471159882</v>
      </c>
      <c r="T45" s="73">
        <f t="shared" si="13"/>
        <v>0.63748321081636183</v>
      </c>
    </row>
    <row r="46" spans="1:21" s="49" customFormat="1" x14ac:dyDescent="0.25"/>
    <row r="47" spans="1:21" s="49" customFormat="1" x14ac:dyDescent="0.25">
      <c r="B47" s="49" t="s">
        <v>92</v>
      </c>
      <c r="E47" s="49">
        <v>1</v>
      </c>
      <c r="F47" s="79">
        <f t="shared" ref="F47:T47" si="14">E47/(1+Disc_Rate)</f>
        <v>0.89285714285714279</v>
      </c>
      <c r="G47" s="79">
        <f t="shared" si="14"/>
        <v>0.79719387755102022</v>
      </c>
      <c r="H47" s="79">
        <f t="shared" si="14"/>
        <v>0.71178024781341087</v>
      </c>
      <c r="I47" s="79">
        <f t="shared" si="14"/>
        <v>0.6355180784048311</v>
      </c>
      <c r="J47" s="79">
        <f t="shared" si="14"/>
        <v>0.56742685571859919</v>
      </c>
      <c r="K47" s="79">
        <f t="shared" si="14"/>
        <v>0.50663112117732068</v>
      </c>
      <c r="L47" s="79">
        <f t="shared" si="14"/>
        <v>0.45234921533689343</v>
      </c>
      <c r="M47" s="79">
        <f t="shared" si="14"/>
        <v>0.4038832279793691</v>
      </c>
      <c r="N47" s="79">
        <f t="shared" si="14"/>
        <v>0.36061002498157951</v>
      </c>
      <c r="O47" s="79">
        <f t="shared" si="14"/>
        <v>0.32197323659069599</v>
      </c>
      <c r="P47" s="79">
        <f t="shared" si="14"/>
        <v>0.28747610409883567</v>
      </c>
      <c r="Q47" s="79">
        <f t="shared" si="14"/>
        <v>0.25667509294538898</v>
      </c>
      <c r="R47" s="79">
        <f t="shared" si="14"/>
        <v>0.22917419012981158</v>
      </c>
      <c r="S47" s="79">
        <f t="shared" si="14"/>
        <v>0.20461981261590317</v>
      </c>
      <c r="T47" s="79">
        <f t="shared" si="14"/>
        <v>0.18269626126419924</v>
      </c>
    </row>
    <row r="48" spans="1:21" s="49" customFormat="1" x14ac:dyDescent="0.25">
      <c r="B48" s="49" t="s">
        <v>93</v>
      </c>
      <c r="E48" s="73">
        <f>E45*E47</f>
        <v>120</v>
      </c>
      <c r="F48" s="73">
        <f t="shared" ref="F48:T48" si="15">F45*F47</f>
        <v>79.084687500000001</v>
      </c>
      <c r="G48" s="73">
        <f t="shared" si="15"/>
        <v>49.637998388671875</v>
      </c>
      <c r="H48" s="73">
        <f t="shared" si="15"/>
        <v>31.155599926139839</v>
      </c>
      <c r="I48" s="73">
        <f t="shared" si="15"/>
        <v>19.555007016141211</v>
      </c>
      <c r="J48" s="73">
        <f t="shared" si="15"/>
        <v>12.273822372474884</v>
      </c>
      <c r="K48" s="73">
        <f t="shared" si="15"/>
        <v>7.7037413234736878</v>
      </c>
      <c r="L48" s="73">
        <f t="shared" si="15"/>
        <v>4.8353013900615318</v>
      </c>
      <c r="M48" s="73">
        <f t="shared" si="15"/>
        <v>3.0349071381058095</v>
      </c>
      <c r="N48" s="73">
        <f t="shared" si="15"/>
        <v>1.9048784334017244</v>
      </c>
      <c r="O48" s="73">
        <f t="shared" si="15"/>
        <v>1.1956088542148007</v>
      </c>
      <c r="P48" s="73">
        <f t="shared" si="15"/>
        <v>0.75043136990325876</v>
      </c>
      <c r="Q48" s="73">
        <f t="shared" si="15"/>
        <v>0.47101293951584222</v>
      </c>
      <c r="R48" s="73">
        <f t="shared" si="15"/>
        <v>0.29563421531799028</v>
      </c>
      <c r="S48" s="73">
        <f t="shared" si="15"/>
        <v>0.18555666295818238</v>
      </c>
      <c r="T48" s="73">
        <f t="shared" si="15"/>
        <v>0.11646579923484665</v>
      </c>
    </row>
    <row r="49" spans="2:5" s="49" customFormat="1" ht="17.25" x14ac:dyDescent="0.3">
      <c r="B49" s="49" t="s">
        <v>94</v>
      </c>
      <c r="E49" s="80">
        <f>SUM(E48:T48)</f>
        <v>332.20065332961553</v>
      </c>
    </row>
    <row r="50" spans="2:5" s="49" customFormat="1" x14ac:dyDescent="0.25"/>
    <row r="51" spans="2:5" s="49" customFormat="1" hidden="1" x14ac:dyDescent="0.25"/>
    <row r="52" spans="2:5" s="49" customFormat="1" hidden="1" x14ac:dyDescent="0.25"/>
    <row r="53" spans="2:5" s="49" customFormat="1" hidden="1" x14ac:dyDescent="0.25"/>
    <row r="54" spans="2:5" s="49" customFormat="1" hidden="1" x14ac:dyDescent="0.25"/>
    <row r="55" spans="2:5" s="49" customFormat="1" hidden="1" x14ac:dyDescent="0.25"/>
    <row r="56" spans="2:5" s="49" customFormat="1" hidden="1" x14ac:dyDescent="0.25"/>
    <row r="57" spans="2:5" s="49" customFormat="1" hidden="1" x14ac:dyDescent="0.25"/>
    <row r="58" spans="2:5" s="49" customFormat="1" hidden="1" x14ac:dyDescent="0.25"/>
    <row r="59" spans="2:5" s="49" customFormat="1" hidden="1" x14ac:dyDescent="0.25"/>
    <row r="60" spans="2:5" s="49" customFormat="1" hidden="1" x14ac:dyDescent="0.25"/>
    <row r="61" spans="2:5" s="49" customFormat="1" hidden="1" x14ac:dyDescent="0.25"/>
    <row r="62" spans="2:5" s="49" customFormat="1" hidden="1" x14ac:dyDescent="0.25"/>
  </sheetData>
  <phoneticPr fontId="2" type="noConversion"/>
  <pageMargins left="0.75" right="0.75" top="1" bottom="1" header="0.5" footer="0.5"/>
  <pageSetup scale="46" orientation="landscape" horizontalDpi="4294967293" r:id="rId1"/>
  <headerFooter alignWithMargins="0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zoomScale="90" zoomScaleNormal="90" workbookViewId="0"/>
  </sheetViews>
  <sheetFormatPr defaultColWidth="0" defaultRowHeight="14.25" zeroHeight="1" x14ac:dyDescent="0.25"/>
  <cols>
    <col min="1" max="1" width="33.85546875" style="81" customWidth="1"/>
    <col min="2" max="2" width="12.85546875" style="81" customWidth="1"/>
    <col min="3" max="3" width="9.28515625" style="81" bestFit="1" customWidth="1"/>
    <col min="4" max="5" width="9.140625" style="81" customWidth="1"/>
    <col min="6" max="6" width="9.28515625" style="81" bestFit="1" customWidth="1"/>
    <col min="7" max="7" width="9.140625" style="81" customWidth="1"/>
    <col min="8" max="16384" width="0" style="81" hidden="1"/>
  </cols>
  <sheetData>
    <row r="1" spans="1:7" s="85" customFormat="1" ht="21" customHeight="1" x14ac:dyDescent="0.35">
      <c r="A1" s="99" t="s">
        <v>12</v>
      </c>
      <c r="B1" s="83"/>
      <c r="C1" s="83"/>
      <c r="D1" s="83"/>
      <c r="E1" s="83"/>
      <c r="F1" s="83"/>
      <c r="G1" s="84"/>
    </row>
    <row r="2" spans="1:7" s="103" customFormat="1" ht="19.5" customHeight="1" x14ac:dyDescent="0.3">
      <c r="A2" s="103" t="s">
        <v>13</v>
      </c>
    </row>
    <row r="3" spans="1:7" s="49" customFormat="1" ht="11.25" customHeight="1" x14ac:dyDescent="0.25"/>
    <row r="4" spans="1:7" s="51" customFormat="1" ht="16.5" x14ac:dyDescent="0.3">
      <c r="A4" s="61" t="s">
        <v>118</v>
      </c>
      <c r="B4" s="62"/>
      <c r="C4" s="120"/>
      <c r="D4" s="120"/>
      <c r="E4" s="60"/>
      <c r="F4" s="60"/>
      <c r="G4" s="60"/>
    </row>
    <row r="5" spans="1:7" s="50" customFormat="1" x14ac:dyDescent="0.25">
      <c r="A5" s="12"/>
      <c r="B5" s="39"/>
      <c r="C5" s="39" t="s">
        <v>116</v>
      </c>
      <c r="D5" s="39" t="s">
        <v>117</v>
      </c>
      <c r="E5" s="12"/>
      <c r="F5" s="12"/>
      <c r="G5" s="12"/>
    </row>
    <row r="6" spans="1:7" s="49" customFormat="1" x14ac:dyDescent="0.25">
      <c r="A6" s="49" t="s">
        <v>56</v>
      </c>
      <c r="B6" s="104"/>
      <c r="C6" s="105">
        <v>0.5</v>
      </c>
      <c r="D6" s="106">
        <v>0.5</v>
      </c>
    </row>
    <row r="7" spans="1:7" s="49" customFormat="1" x14ac:dyDescent="0.25">
      <c r="B7" s="104"/>
    </row>
    <row r="8" spans="1:7" s="49" customFormat="1" x14ac:dyDescent="0.25">
      <c r="B8" s="104"/>
      <c r="C8" s="104" t="s">
        <v>116</v>
      </c>
      <c r="D8" s="104" t="s">
        <v>117</v>
      </c>
    </row>
    <row r="9" spans="1:7" s="49" customFormat="1" x14ac:dyDescent="0.25">
      <c r="A9" s="49" t="s">
        <v>57</v>
      </c>
      <c r="B9" s="104"/>
      <c r="C9" s="105">
        <v>0.5</v>
      </c>
      <c r="D9" s="106">
        <v>0.5</v>
      </c>
    </row>
    <row r="10" spans="1:7" s="49" customFormat="1" x14ac:dyDescent="0.25">
      <c r="B10" s="104"/>
    </row>
    <row r="11" spans="1:7" s="49" customFormat="1" x14ac:dyDescent="0.25">
      <c r="B11" s="104"/>
      <c r="C11" s="104" t="s">
        <v>120</v>
      </c>
      <c r="D11" s="104" t="s">
        <v>152</v>
      </c>
      <c r="E11" s="104" t="s">
        <v>121</v>
      </c>
      <c r="F11" s="104" t="s">
        <v>122</v>
      </c>
    </row>
    <row r="12" spans="1:7" s="49" customFormat="1" x14ac:dyDescent="0.25">
      <c r="A12" s="49" t="s">
        <v>123</v>
      </c>
      <c r="C12" s="105">
        <v>0.3</v>
      </c>
      <c r="D12" s="107">
        <v>0.3</v>
      </c>
      <c r="E12" s="106">
        <v>0.2</v>
      </c>
      <c r="F12" s="106">
        <v>0.2</v>
      </c>
    </row>
    <row r="13" spans="1:7" s="49" customFormat="1" x14ac:dyDescent="0.25">
      <c r="C13" s="87"/>
      <c r="D13" s="87"/>
    </row>
    <row r="14" spans="1:7" s="49" customFormat="1" x14ac:dyDescent="0.25">
      <c r="C14" s="108" t="s">
        <v>160</v>
      </c>
      <c r="D14" s="108" t="s">
        <v>161</v>
      </c>
      <c r="E14" s="104" t="s">
        <v>162</v>
      </c>
    </row>
    <row r="15" spans="1:7" s="49" customFormat="1" x14ac:dyDescent="0.25">
      <c r="A15" s="49" t="s">
        <v>159</v>
      </c>
      <c r="C15" s="105">
        <v>0.3</v>
      </c>
      <c r="D15" s="107">
        <v>0.4</v>
      </c>
      <c r="E15" s="109">
        <v>0.3</v>
      </c>
    </row>
    <row r="16" spans="1:7" s="49" customFormat="1" x14ac:dyDescent="0.25">
      <c r="B16" s="88"/>
      <c r="C16" s="87"/>
      <c r="D16" s="87"/>
    </row>
    <row r="17" spans="1:7" s="51" customFormat="1" ht="16.5" x14ac:dyDescent="0.3">
      <c r="A17" s="121" t="s">
        <v>119</v>
      </c>
      <c r="B17" s="119"/>
      <c r="C17" s="58"/>
      <c r="D17" s="58"/>
      <c r="E17" s="58"/>
      <c r="F17" s="58"/>
      <c r="G17" s="59"/>
    </row>
    <row r="18" spans="1:7" s="50" customFormat="1" x14ac:dyDescent="0.25">
      <c r="A18" s="12"/>
      <c r="B18" s="122"/>
      <c r="C18" s="39" t="s">
        <v>120</v>
      </c>
      <c r="D18" s="123" t="s">
        <v>152</v>
      </c>
      <c r="E18" s="39" t="s">
        <v>121</v>
      </c>
      <c r="F18" s="39" t="s">
        <v>122</v>
      </c>
      <c r="G18" s="12"/>
    </row>
    <row r="19" spans="1:7" s="49" customFormat="1" x14ac:dyDescent="0.25">
      <c r="A19" s="49" t="s">
        <v>26</v>
      </c>
      <c r="B19" s="104" t="s">
        <v>1</v>
      </c>
      <c r="C19" s="110">
        <v>2019</v>
      </c>
      <c r="D19" s="111">
        <v>2020</v>
      </c>
      <c r="E19" s="112">
        <v>2021</v>
      </c>
      <c r="F19" s="112">
        <v>2099</v>
      </c>
    </row>
    <row r="20" spans="1:7" s="49" customFormat="1" x14ac:dyDescent="0.25">
      <c r="B20" s="113"/>
    </row>
    <row r="21" spans="1:7" s="49" customFormat="1" x14ac:dyDescent="0.25">
      <c r="A21" s="49" t="s">
        <v>127</v>
      </c>
      <c r="B21" s="114" t="s">
        <v>4</v>
      </c>
      <c r="C21" s="104" t="s">
        <v>124</v>
      </c>
      <c r="D21" s="104" t="s">
        <v>125</v>
      </c>
      <c r="E21" s="104" t="s">
        <v>126</v>
      </c>
    </row>
    <row r="22" spans="1:7" s="49" customFormat="1" x14ac:dyDescent="0.25">
      <c r="B22" s="115"/>
      <c r="C22" s="116">
        <v>0</v>
      </c>
      <c r="D22" s="117">
        <v>0.02</v>
      </c>
      <c r="E22" s="118">
        <v>0.04</v>
      </c>
    </row>
    <row r="23" spans="1:7" s="49" customFormat="1" x14ac:dyDescent="0.25">
      <c r="B23" s="115"/>
    </row>
    <row r="24" spans="1:7" s="49" customFormat="1" hidden="1" x14ac:dyDescent="0.25">
      <c r="B24" s="115"/>
    </row>
    <row r="25" spans="1:7" x14ac:dyDescent="0.25">
      <c r="A25" s="49"/>
      <c r="B25" s="49"/>
      <c r="C25" s="49"/>
      <c r="D25" s="49"/>
      <c r="E25" s="49"/>
      <c r="F25" s="49"/>
      <c r="G25" s="49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66</vt:i4>
      </vt:variant>
    </vt:vector>
  </HeadingPairs>
  <TitlesOfParts>
    <vt:vector size="71" baseType="lpstr">
      <vt:lpstr>Parameters</vt:lpstr>
      <vt:lpstr>MarketSize</vt:lpstr>
      <vt:lpstr>Patient Share Model</vt:lpstr>
      <vt:lpstr>Cash Flow</vt:lpstr>
      <vt:lpstr>Init Values</vt:lpstr>
      <vt:lpstr>Addl_Mkting_Cost</vt:lpstr>
      <vt:lpstr>ASP_Growth_NP</vt:lpstr>
      <vt:lpstr>ASP_NP</vt:lpstr>
      <vt:lpstr>ASP_SBP</vt:lpstr>
      <vt:lpstr>Cash_Flow</vt:lpstr>
      <vt:lpstr>Cash_Upfront</vt:lpstr>
      <vt:lpstr>cf_2007</vt:lpstr>
      <vt:lpstr>cf_2008</vt:lpstr>
      <vt:lpstr>cf_2009</vt:lpstr>
      <vt:lpstr>cf_2010</vt:lpstr>
      <vt:lpstr>cf_2011</vt:lpstr>
      <vt:lpstr>cf_2012</vt:lpstr>
      <vt:lpstr>cf_2013</vt:lpstr>
      <vt:lpstr>cf_2014</vt:lpstr>
      <vt:lpstr>cf_2015</vt:lpstr>
      <vt:lpstr>cf_2016</vt:lpstr>
      <vt:lpstr>cf_2017</vt:lpstr>
      <vt:lpstr>cf_2018</vt:lpstr>
      <vt:lpstr>cf_2019</vt:lpstr>
      <vt:lpstr>cf_2020</vt:lpstr>
      <vt:lpstr>cf_2021</vt:lpstr>
      <vt:lpstr>cf_2022</vt:lpstr>
      <vt:lpstr>COGS_NP</vt:lpstr>
      <vt:lpstr>Conv_2v1</vt:lpstr>
      <vt:lpstr>Conv_3v2</vt:lpstr>
      <vt:lpstr>Curr_Year</vt:lpstr>
      <vt:lpstr>Disc_Rate</vt:lpstr>
      <vt:lpstr>DPL_2GenAvail</vt:lpstr>
      <vt:lpstr>DPL_3GenAvail</vt:lpstr>
      <vt:lpstr>DPL_DLCM</vt:lpstr>
      <vt:lpstr>DPL_InitDec</vt:lpstr>
      <vt:lpstr>DPL_MktExp</vt:lpstr>
      <vt:lpstr>DPL_NPV</vt:lpstr>
      <vt:lpstr>DPL_SBPYr</vt:lpstr>
      <vt:lpstr>DPL_StudyRes</vt:lpstr>
      <vt:lpstr>Final_Year</vt:lpstr>
      <vt:lpstr>Marketing_Cost</vt:lpstr>
      <vt:lpstr>Mkt_Growth_Base</vt:lpstr>
      <vt:lpstr>Mkt_Share_NP</vt:lpstr>
      <vt:lpstr>mkt_size_2ndcomp</vt:lpstr>
      <vt:lpstr>mkt_size_3rdcomp</vt:lpstr>
      <vt:lpstr>mkt_size_maxcomp</vt:lpstr>
      <vt:lpstr>mkt_size_nocomp</vt:lpstr>
      <vt:lpstr>Mkt_Size_NP</vt:lpstr>
      <vt:lpstr>NP_Dec_LCM</vt:lpstr>
      <vt:lpstr>NP_Decline_Rt</vt:lpstr>
      <vt:lpstr>NP_Decline_Yr</vt:lpstr>
      <vt:lpstr>p_2ndGen</vt:lpstr>
      <vt:lpstr>p_2ndGenStudy</vt:lpstr>
      <vt:lpstr>p_3rdGen</vt:lpstr>
      <vt:lpstr>p_SBPLaunch</vt:lpstr>
      <vt:lpstr>Royalty</vt:lpstr>
      <vt:lpstr>SBP_Shr</vt:lpstr>
      <vt:lpstr>Share_2v1</vt:lpstr>
      <vt:lpstr>Share_3v2</vt:lpstr>
      <vt:lpstr>SM_SBP</vt:lpstr>
      <vt:lpstr>Tax_Rate</vt:lpstr>
      <vt:lpstr>v_mktexp</vt:lpstr>
      <vt:lpstr>v_yrSBP</vt:lpstr>
      <vt:lpstr>Yr_2Gen</vt:lpstr>
      <vt:lpstr>Yr_2Gen_avail</vt:lpstr>
      <vt:lpstr>Yr_3Gen</vt:lpstr>
      <vt:lpstr>Yr_3Gen_avail</vt:lpstr>
      <vt:lpstr>Yr_Delay_LCM</vt:lpstr>
      <vt:lpstr>Yr_MktExp</vt:lpstr>
      <vt:lpstr>Yr_Study</vt:lpstr>
    </vt:vector>
  </TitlesOfParts>
  <Company>Carswell Smith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Carswell</dc:creator>
  <cp:lastModifiedBy>nfranz</cp:lastModifiedBy>
  <cp:lastPrinted>2007-03-21T16:56:14Z</cp:lastPrinted>
  <dcterms:created xsi:type="dcterms:W3CDTF">2007-03-16T12:39:29Z</dcterms:created>
  <dcterms:modified xsi:type="dcterms:W3CDTF">2022-04-18T17:22:51Z</dcterms:modified>
</cp:coreProperties>
</file>