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ki\Desktop\hugo\static\downloads\"/>
    </mc:Choice>
  </mc:AlternateContent>
  <xr:revisionPtr revIDLastSave="0" documentId="8_{440C5E14-4A71-4A17-9C08-111E85E79718}" xr6:coauthVersionLast="47" xr6:coauthVersionMax="47" xr10:uidLastSave="{00000000-0000-0000-0000-000000000000}"/>
  <bookViews>
    <workbookView xWindow="2295" yWindow="2295" windowWidth="13590" windowHeight="11385" xr2:uid="{00000000-000D-0000-FFFF-FFFF00000000}"/>
  </bookViews>
  <sheets>
    <sheet name="Assumptions" sheetId="21" r:id="rId1"/>
    <sheet name="Probabilities" sheetId="22" r:id="rId2"/>
    <sheet name="DCF" sheetId="12" r:id="rId3"/>
  </sheets>
  <definedNames>
    <definedName name="COGS">Assumptions!$C$49</definedName>
    <definedName name="DatN_Global_Discount_Rate">Assumptions!$C$6</definedName>
    <definedName name="DatN_Global_Start_Year">Assumptions!$C$7</definedName>
    <definedName name="DatR_RD_ASP">Assumptions!$C$62</definedName>
    <definedName name="DatR_RD_COGS">Assumptions!$C$49</definedName>
    <definedName name="DatR_RD_Current_Phase">Assumptions!$C$34</definedName>
    <definedName name="DatR_RD_Launch_Year">Assumptions!$C$35</definedName>
    <definedName name="DatR_RD_Market_Share">Assumptions!$E$60:$G$60</definedName>
    <definedName name="DatR_RD_Market_Size">Assumptions!$E$59:$G$59</definedName>
    <definedName name="DatR_RD_Marketing_Cost">Assumptions!$C$46</definedName>
    <definedName name="DatR_RD_Milestone_Phase_1">Assumptions!$C$53</definedName>
    <definedName name="DatR_RD_Milestone_Phase_2">Assumptions!$C$54</definedName>
    <definedName name="DatR_RD_Milestone_Phase_3">Assumptions!$C$55</definedName>
    <definedName name="DatR_RD_Milestone_Phase_Reg">Assumptions!$C$56</definedName>
    <definedName name="DatR_RD_Patent_Expiry">Assumptions!$C$36</definedName>
    <definedName name="DatR_RD_Pricing">Assumptions!$E$63:$G$63</definedName>
    <definedName name="DatR_RD_Prob_Phase_1">Probabilities!$C$7</definedName>
    <definedName name="DatR_RD_Prob_Phase_2">Probabilities!$C$8</definedName>
    <definedName name="DatR_RD_Prob_Phase_3">Probabilities!$C$9</definedName>
    <definedName name="DatR_RD_Prob_Reg">Probabilities!$C$10</definedName>
    <definedName name="DatR_RD_Probs_Market_Share">Probabilities!$C$22:$C$24</definedName>
    <definedName name="DatR_RD_Probs_Market_Size">Probabilities!$C$18:$C$20</definedName>
    <definedName name="DatR_RD_Probs_Pricing">Probabilities!$C$14:$C$16</definedName>
    <definedName name="DatR_RD_Royalty_Rate">Assumptions!$C$52</definedName>
    <definedName name="DatR_RD_Years_To_Peak">Assumptions!$C$65</definedName>
    <definedName name="DatR_RDAnn_Dev_Costs_Phase_1">Assumptions!$E$39:$V$39</definedName>
    <definedName name="DatR_RDAnn_Dev_Costs_Phase_2">Assumptions!$E$40:$V$40</definedName>
    <definedName name="DatR_RDAnn_Dev_Costs_Phase_3">Assumptions!$E$41:$V$41</definedName>
    <definedName name="DatR_RDAnn_Dev_Costs_Reg">Assumptions!$E$42:$V$42</definedName>
    <definedName name="DatR_RDAnn_Launch_Costs">Assumptions!$E$45:$V$45</definedName>
    <definedName name="DatR_RDDes_Project_Leader">Assumptions!$C$33</definedName>
    <definedName name="DatR_RDDes_Project_Name">Assumptions!$C$32</definedName>
    <definedName name="dev_cost_phase1">Assumptions!$E$39:$V$39</definedName>
    <definedName name="dev_cost_phase2">Assumptions!$E$40:$V$40</definedName>
    <definedName name="dev_cost_phase3">Assumptions!$E$41:$V$41</definedName>
    <definedName name="dev_cost_reg">Assumptions!$E$42:$V$42</definedName>
    <definedName name="Develop">Assumptions!$C$18</definedName>
    <definedName name="discount_factor">DCF!$E$39:$V$39</definedName>
    <definedName name="Discount_rate">Assumptions!$C$6</definedName>
    <definedName name="FCF_post_launch">DCF!$E$32:$V$32</definedName>
    <definedName name="FCF_pre_launch">DCF!$E$31:$V$31</definedName>
    <definedName name="FDA_approval">Assumptions!$C$23</definedName>
    <definedName name="Free_Cash_Flow">DCF!$E$30:$V$30</definedName>
    <definedName name="launch_cost">Assumptions!$E$45:$V$45</definedName>
    <definedName name="Launch_costs">DCF!$E$14:$V$14</definedName>
    <definedName name="launch_year">Assumptions!$C$35</definedName>
    <definedName name="Licensor_CF_Phase_1">DCF!$E$21:$V$21</definedName>
    <definedName name="Licensor_CF_Phase_2">DCF!$E$22:$V$22</definedName>
    <definedName name="Licensor_CF_Phase_3">DCF!$E$23:$V$23</definedName>
    <definedName name="Licensor_CF_Registration">DCF!$E$24:$V$24</definedName>
    <definedName name="Licensor_CF_Royalties">DCF!$E$25:$V$25</definedName>
    <definedName name="Licensor_PV_Phase_1">DCF!$D$21</definedName>
    <definedName name="Licensor_PV_Phase_2">DCF!$D$22</definedName>
    <definedName name="Licensor_PV_Phase_3">DCF!$D$23</definedName>
    <definedName name="Licensor_PV_Registration">DCF!$D$24</definedName>
    <definedName name="Licensor_PV_Royalties">DCF!$D$25</definedName>
    <definedName name="Market_share">Assumptions!$C$25</definedName>
    <definedName name="Market_size">Assumptions!$C$26</definedName>
    <definedName name="marketing_cost_rate">Assumptions!$C$46</definedName>
    <definedName name="Ongoing_costs">DCF!$E$15:$V$15</definedName>
    <definedName name="patent_expiry">Assumptions!$C$36</definedName>
    <definedName name="Peak_sales">Assumptions!$C$64</definedName>
    <definedName name="peak_sales_table">Assumptions!$G$64:$I$66</definedName>
    <definedName name="Phase_1_costs">DCF!$E$7:$V$7</definedName>
    <definedName name="Phase_1_payment">Assumptions!$C$53</definedName>
    <definedName name="Phase_1_success">Assumptions!$C$20</definedName>
    <definedName name="Phase_2_costs">DCF!$E$8:$V$8</definedName>
    <definedName name="Phase_2_payment">Assumptions!$C$54</definedName>
    <definedName name="Phase_2_success">Assumptions!$C$21</definedName>
    <definedName name="Phase_3_costs">DCF!$E$9:$V$9</definedName>
    <definedName name="Phase_3_payment">Assumptions!$C$55</definedName>
    <definedName name="Phase_3_success">Assumptions!$C$22</definedName>
    <definedName name="Pricing">Assumptions!$C$27</definedName>
    <definedName name="_xlnm.Print_Area" localSheetId="0">Assumptions!$B$2:$O$29</definedName>
    <definedName name="_xlnm.Print_Area" localSheetId="2">DCF!$B$2:$O$42</definedName>
    <definedName name="prob_fda_approval">Probabilities!$C$10</definedName>
    <definedName name="prob_success_phase1">Probabilities!$C$7</definedName>
    <definedName name="prob_success_phase2">Probabilities!$C$8</definedName>
    <definedName name="prob_success_phase3">Probabilities!$C$9</definedName>
    <definedName name="probs_market_share">Probabilities!$C$22:$C$24</definedName>
    <definedName name="probs_market_size">Probabilities!$C$18:$C$20</definedName>
    <definedName name="probs_pricing">Probabilities!$C$14:$C$16</definedName>
    <definedName name="PV_Development">DCF!$D$11</definedName>
    <definedName name="PV_Launch">DCF!$D$14</definedName>
    <definedName name="PV_Phase_1">DCF!$D$7</definedName>
    <definedName name="PV_Phase_2">DCF!$D$8</definedName>
    <definedName name="PV_Phase_3">DCF!$D$9</definedName>
    <definedName name="PV_post_launch">DCF!$D$32</definedName>
    <definedName name="PV_Registration">DCF!$D$10</definedName>
    <definedName name="Registration_costs">DCF!$E$10:$V$10</definedName>
    <definedName name="Registration_payment">Assumptions!$C$56</definedName>
    <definedName name="royalty_rate">Assumptions!$C$52</definedName>
    <definedName name="Start_year">Assumptions!$C$7</definedName>
    <definedName name="Total_NPV">DCF!$C$41</definedName>
    <definedName name="Years_to_peak">Assumptions!$C$65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21" l="1"/>
  <c r="C59" i="21"/>
  <c r="C63" i="21"/>
  <c r="C61" i="21" l="1"/>
  <c r="C64" i="21" s="1"/>
  <c r="E2" i="12"/>
  <c r="L24" i="12"/>
  <c r="K23" i="12"/>
  <c r="H22" i="12"/>
  <c r="F21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D18" i="21"/>
  <c r="D27" i="21"/>
  <c r="D26" i="21"/>
  <c r="D25" i="21"/>
  <c r="E2" i="21"/>
  <c r="F2" i="21" s="1"/>
  <c r="G2" i="21" s="1"/>
  <c r="H2" i="21" s="1"/>
  <c r="I2" i="21" s="1"/>
  <c r="J2" i="21" s="1"/>
  <c r="K2" i="21" s="1"/>
  <c r="L2" i="21" s="1"/>
  <c r="M2" i="21" s="1"/>
  <c r="N2" i="21" s="1"/>
  <c r="O2" i="21" s="1"/>
  <c r="P2" i="21" s="1"/>
  <c r="Q2" i="21" s="1"/>
  <c r="R2" i="21" s="1"/>
  <c r="S2" i="21" s="1"/>
  <c r="T2" i="21" s="1"/>
  <c r="U2" i="21" s="1"/>
  <c r="V2" i="21" s="1"/>
  <c r="D23" i="21"/>
  <c r="D22" i="21"/>
  <c r="D21" i="21"/>
  <c r="D20" i="21"/>
  <c r="E7" i="12"/>
  <c r="F39" i="12"/>
  <c r="G39" i="12" s="1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F2" i="12" l="1"/>
  <c r="E28" i="12"/>
  <c r="E25" i="12" s="1"/>
  <c r="R11" i="12"/>
  <c r="R31" i="12" s="1"/>
  <c r="V11" i="12"/>
  <c r="V31" i="12" s="1"/>
  <c r="Q11" i="12"/>
  <c r="Q31" i="12" s="1"/>
  <c r="E11" i="12"/>
  <c r="E31" i="12" s="1"/>
  <c r="U11" i="12"/>
  <c r="U31" i="12" s="1"/>
  <c r="M11" i="12"/>
  <c r="M31" i="12" s="1"/>
  <c r="I11" i="12"/>
  <c r="I31" i="12" s="1"/>
  <c r="N11" i="12"/>
  <c r="N31" i="12" s="1"/>
  <c r="J11" i="12"/>
  <c r="J31" i="12" s="1"/>
  <c r="P11" i="12"/>
  <c r="P31" i="12" s="1"/>
  <c r="H11" i="12"/>
  <c r="H31" i="12" s="1"/>
  <c r="F11" i="12"/>
  <c r="F31" i="12" s="1"/>
  <c r="T11" i="12"/>
  <c r="T31" i="12" s="1"/>
  <c r="L11" i="12"/>
  <c r="L31" i="12" s="1"/>
  <c r="S11" i="12"/>
  <c r="S31" i="12" s="1"/>
  <c r="O11" i="12"/>
  <c r="O31" i="12" s="1"/>
  <c r="K11" i="12"/>
  <c r="K31" i="12" s="1"/>
  <c r="G11" i="12"/>
  <c r="G31" i="12" s="1"/>
  <c r="H39" i="12"/>
  <c r="G2" i="12" l="1"/>
  <c r="F28" i="12"/>
  <c r="F25" i="12" s="1"/>
  <c r="F34" i="12" s="1"/>
  <c r="E15" i="12"/>
  <c r="E16" i="12" s="1"/>
  <c r="E19" i="12"/>
  <c r="E26" i="12" s="1"/>
  <c r="I39" i="12"/>
  <c r="E34" i="12"/>
  <c r="F15" i="12" l="1"/>
  <c r="F16" i="12" s="1"/>
  <c r="F19" i="12"/>
  <c r="F26" i="12" s="1"/>
  <c r="G28" i="12"/>
  <c r="H2" i="12"/>
  <c r="E32" i="12"/>
  <c r="J39" i="12"/>
  <c r="E30" i="12"/>
  <c r="E40" i="12" s="1"/>
  <c r="F32" i="12" l="1"/>
  <c r="G25" i="12"/>
  <c r="G34" i="12" s="1"/>
  <c r="G15" i="12"/>
  <c r="G16" i="12" s="1"/>
  <c r="G19" i="12"/>
  <c r="H28" i="12"/>
  <c r="I2" i="12"/>
  <c r="F30" i="12"/>
  <c r="F40" i="12" s="1"/>
  <c r="K39" i="12"/>
  <c r="H15" i="12" l="1"/>
  <c r="H16" i="12" s="1"/>
  <c r="H19" i="12"/>
  <c r="H25" i="12"/>
  <c r="H34" i="12" s="1"/>
  <c r="G26" i="12"/>
  <c r="I28" i="12"/>
  <c r="J2" i="12"/>
  <c r="L39" i="12"/>
  <c r="H26" i="12" l="1"/>
  <c r="H30" i="12" s="1"/>
  <c r="H40" i="12" s="1"/>
  <c r="G32" i="12"/>
  <c r="G30" i="12"/>
  <c r="G40" i="12" s="1"/>
  <c r="J28" i="12"/>
  <c r="K2" i="12"/>
  <c r="I15" i="12"/>
  <c r="I16" i="12" s="1"/>
  <c r="I25" i="12"/>
  <c r="I34" i="12" s="1"/>
  <c r="I19" i="12"/>
  <c r="M39" i="12"/>
  <c r="H32" i="12" l="1"/>
  <c r="I26" i="12"/>
  <c r="I32" i="12" s="1"/>
  <c r="K28" i="12"/>
  <c r="L2" i="12"/>
  <c r="J25" i="12"/>
  <c r="J34" i="12" s="1"/>
  <c r="J15" i="12"/>
  <c r="J16" i="12" s="1"/>
  <c r="J19" i="12"/>
  <c r="N39" i="12"/>
  <c r="J26" i="12" l="1"/>
  <c r="J32" i="12" s="1"/>
  <c r="I30" i="12"/>
  <c r="I40" i="12" s="1"/>
  <c r="L28" i="12"/>
  <c r="M2" i="12"/>
  <c r="K19" i="12"/>
  <c r="K25" i="12"/>
  <c r="K34" i="12" s="1"/>
  <c r="K15" i="12"/>
  <c r="K16" i="12" s="1"/>
  <c r="O39" i="12"/>
  <c r="J30" i="12" l="1"/>
  <c r="J40" i="12" s="1"/>
  <c r="K26" i="12"/>
  <c r="K32" i="12" s="1"/>
  <c r="M28" i="12"/>
  <c r="N2" i="12"/>
  <c r="L15" i="12"/>
  <c r="L16" i="12" s="1"/>
  <c r="L19" i="12"/>
  <c r="L25" i="12"/>
  <c r="L34" i="12" s="1"/>
  <c r="P39" i="12"/>
  <c r="N28" i="12" l="1"/>
  <c r="O2" i="12"/>
  <c r="M25" i="12"/>
  <c r="M34" i="12" s="1"/>
  <c r="M19" i="12"/>
  <c r="M15" i="12"/>
  <c r="M16" i="12" s="1"/>
  <c r="L26" i="12"/>
  <c r="K30" i="12"/>
  <c r="K40" i="12" s="1"/>
  <c r="Q39" i="12"/>
  <c r="M26" i="12" l="1"/>
  <c r="M30" i="12" s="1"/>
  <c r="M40" i="12" s="1"/>
  <c r="L32" i="12"/>
  <c r="L30" i="12"/>
  <c r="L40" i="12" s="1"/>
  <c r="O28" i="12"/>
  <c r="P2" i="12"/>
  <c r="N15" i="12"/>
  <c r="N16" i="12" s="1"/>
  <c r="N19" i="12"/>
  <c r="N25" i="12"/>
  <c r="N34" i="12" s="1"/>
  <c r="R39" i="12"/>
  <c r="M32" i="12" l="1"/>
  <c r="P28" i="12"/>
  <c r="Q2" i="12"/>
  <c r="O25" i="12"/>
  <c r="O34" i="12" s="1"/>
  <c r="O19" i="12"/>
  <c r="O15" i="12"/>
  <c r="O16" i="12" s="1"/>
  <c r="N26" i="12"/>
  <c r="S39" i="12"/>
  <c r="O26" i="12" l="1"/>
  <c r="O30" i="12" s="1"/>
  <c r="O40" i="12" s="1"/>
  <c r="N32" i="12"/>
  <c r="N30" i="12"/>
  <c r="N40" i="12" s="1"/>
  <c r="Q28" i="12"/>
  <c r="R2" i="12"/>
  <c r="P15" i="12"/>
  <c r="P16" i="12" s="1"/>
  <c r="P19" i="12"/>
  <c r="P25" i="12"/>
  <c r="P34" i="12" s="1"/>
  <c r="T39" i="12"/>
  <c r="O32" i="12" l="1"/>
  <c r="P26" i="12"/>
  <c r="P32" i="12" s="1"/>
  <c r="Q15" i="12"/>
  <c r="Q16" i="12" s="1"/>
  <c r="Q25" i="12"/>
  <c r="Q34" i="12" s="1"/>
  <c r="Q19" i="12"/>
  <c r="R28" i="12"/>
  <c r="S2" i="12"/>
  <c r="U39" i="12"/>
  <c r="S28" i="12" l="1"/>
  <c r="T2" i="12"/>
  <c r="R19" i="12"/>
  <c r="R25" i="12"/>
  <c r="R34" i="12" s="1"/>
  <c r="R15" i="12"/>
  <c r="R16" i="12" s="1"/>
  <c r="Q26" i="12"/>
  <c r="P30" i="12"/>
  <c r="P40" i="12" s="1"/>
  <c r="V39" i="12"/>
  <c r="R26" i="12" l="1"/>
  <c r="R32" i="12" s="1"/>
  <c r="Q32" i="12"/>
  <c r="Q30" i="12"/>
  <c r="Q40" i="12" s="1"/>
  <c r="T28" i="12"/>
  <c r="U2" i="12"/>
  <c r="S25" i="12"/>
  <c r="S34" i="12" s="1"/>
  <c r="S15" i="12"/>
  <c r="S16" i="12" s="1"/>
  <c r="S19" i="12"/>
  <c r="D31" i="12" a="1"/>
  <c r="D31" i="12" s="1"/>
  <c r="D24" i="12" a="1"/>
  <c r="D24" i="12" s="1"/>
  <c r="D8" i="12" a="1"/>
  <c r="D8" i="12" s="1"/>
  <c r="D10" i="12" a="1"/>
  <c r="D10" i="12" s="1"/>
  <c r="D9" i="12" a="1"/>
  <c r="D9" i="12" s="1"/>
  <c r="D23" i="12" a="1"/>
  <c r="D23" i="12" s="1"/>
  <c r="D22" i="12" a="1"/>
  <c r="D22" i="12" s="1"/>
  <c r="D7" i="12" a="1"/>
  <c r="D7" i="12" s="1"/>
  <c r="D21" i="12" a="1"/>
  <c r="D21" i="12" s="1"/>
  <c r="D14" i="12" a="1"/>
  <c r="D14" i="12" s="1"/>
  <c r="S26" i="12" l="1"/>
  <c r="S30" i="12" s="1"/>
  <c r="S40" i="12" s="1"/>
  <c r="U28" i="12"/>
  <c r="V2" i="12"/>
  <c r="V28" i="12" s="1"/>
  <c r="T25" i="12"/>
  <c r="T34" i="12" s="1"/>
  <c r="T15" i="12"/>
  <c r="T16" i="12" s="1"/>
  <c r="T19" i="12"/>
  <c r="R30" i="12"/>
  <c r="R40" i="12" s="1"/>
  <c r="D11" i="12"/>
  <c r="C13" i="21" s="1"/>
  <c r="S32" i="12" l="1"/>
  <c r="T26" i="12"/>
  <c r="V19" i="12"/>
  <c r="V25" i="12"/>
  <c r="V34" i="12" s="1"/>
  <c r="V15" i="12"/>
  <c r="V16" i="12" s="1"/>
  <c r="U25" i="12"/>
  <c r="U19" i="12"/>
  <c r="U15" i="12"/>
  <c r="U16" i="12" s="1"/>
  <c r="U34" i="12" l="1"/>
  <c r="D34" i="12" s="1" a="1"/>
  <c r="D34" i="12" s="1"/>
  <c r="D25" i="12" a="1"/>
  <c r="U26" i="12"/>
  <c r="U32" i="12" s="1"/>
  <c r="V26" i="12"/>
  <c r="T32" i="12"/>
  <c r="T30" i="12"/>
  <c r="T40" i="12" s="1"/>
  <c r="D25" i="12"/>
  <c r="U30" i="12" l="1"/>
  <c r="U40" i="12" s="1"/>
  <c r="V32" i="12"/>
  <c r="V30" i="12"/>
  <c r="V40" i="12" s="1"/>
  <c r="D32" i="12" l="1" a="1"/>
  <c r="D32" i="12" s="1"/>
  <c r="C41" i="12"/>
  <c r="C12" i="21" s="1"/>
</calcChain>
</file>

<file path=xl/sharedStrings.xml><?xml version="1.0" encoding="utf-8"?>
<sst xmlns="http://schemas.openxmlformats.org/spreadsheetml/2006/main" count="100" uniqueCount="67">
  <si>
    <t>Total</t>
  </si>
  <si>
    <t>Discount factor</t>
  </si>
  <si>
    <t>Discount rate</t>
  </si>
  <si>
    <t>Development costs</t>
  </si>
  <si>
    <t>Marketing costs</t>
  </si>
  <si>
    <t>Launch costs</t>
  </si>
  <si>
    <t>Ongoing expenditure (% of sales)</t>
  </si>
  <si>
    <t>Revenue</t>
  </si>
  <si>
    <t>Total Free Cash Flow</t>
  </si>
  <si>
    <t>Phase 1 success</t>
  </si>
  <si>
    <t>Phase 2 success</t>
  </si>
  <si>
    <t>Phase 3 success</t>
  </si>
  <si>
    <t>FDA approval</t>
  </si>
  <si>
    <t>Net Present Value</t>
  </si>
  <si>
    <t>Phase 1</t>
  </si>
  <si>
    <t>Phase 2</t>
  </si>
  <si>
    <t>Phase 3</t>
  </si>
  <si>
    <t>Registration</t>
  </si>
  <si>
    <t>COGS (% of sales)</t>
  </si>
  <si>
    <t>Patent expiry</t>
  </si>
  <si>
    <t>Start year</t>
  </si>
  <si>
    <t>Other costs</t>
  </si>
  <si>
    <t xml:space="preserve">Manufacturing </t>
  </si>
  <si>
    <t>Royalties</t>
  </si>
  <si>
    <t>Milestone payments</t>
  </si>
  <si>
    <t>Royalty rate</t>
  </si>
  <si>
    <t>Total NPV</t>
  </si>
  <si>
    <t>Years to peak</t>
  </si>
  <si>
    <t>Launch year</t>
  </si>
  <si>
    <t>PV free cash flow by year</t>
  </si>
  <si>
    <t>PV</t>
  </si>
  <si>
    <t>Free cash flow post launch</t>
  </si>
  <si>
    <t>Free cash flow through launch</t>
  </si>
  <si>
    <t>Input switches</t>
  </si>
  <si>
    <t>Market share</t>
  </si>
  <si>
    <t>Low</t>
  </si>
  <si>
    <t>Nominal</t>
  </si>
  <si>
    <t>High</t>
  </si>
  <si>
    <t>Market size</t>
  </si>
  <si>
    <t>Pricing</t>
  </si>
  <si>
    <t>Pricing effect (multiplier)</t>
  </si>
  <si>
    <t>Royalties and milestone payments</t>
  </si>
  <si>
    <t>Phase 1 success payment</t>
  </si>
  <si>
    <t>Phase 2 success payment</t>
  </si>
  <si>
    <t>Phase 3 success payment</t>
  </si>
  <si>
    <t>Registration success payment</t>
  </si>
  <si>
    <t>Licensor Free Cash Flow</t>
  </si>
  <si>
    <t>Base Case</t>
  </si>
  <si>
    <t>Probabilities</t>
  </si>
  <si>
    <t>Project Data</t>
  </si>
  <si>
    <t>Metrics</t>
  </si>
  <si>
    <t>Total value ($M)</t>
  </si>
  <si>
    <t>Total development cost ($M)</t>
  </si>
  <si>
    <t>Project name</t>
  </si>
  <si>
    <t>Project leader</t>
  </si>
  <si>
    <t>Technical and regulatory success</t>
  </si>
  <si>
    <t>Post-market commercial uncertainties</t>
  </si>
  <si>
    <t>Develop?</t>
  </si>
  <si>
    <t>ASP (base)</t>
  </si>
  <si>
    <t>Market size (M units)</t>
  </si>
  <si>
    <t>Volume (M units)</t>
  </si>
  <si>
    <t>Peak sales ($M)</t>
  </si>
  <si>
    <t>Cash Flow</t>
  </si>
  <si>
    <t>Global parameters</t>
  </si>
  <si>
    <t>Current phase</t>
  </si>
  <si>
    <t>Jane Doe</t>
  </si>
  <si>
    <t>UPD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</si>
</sst>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\ _D_M_-;\-* #,##0.00\ _D_M_-;_-* &quot;-&quot;??\ _D_M_-;_-@_-"/>
    <numFmt numFmtId="166" formatCode="yyyy"/>
    <numFmt numFmtId="167" formatCode="#,##0_ ;\-#,##0\ "/>
    <numFmt numFmtId="168" formatCode="#,##0.0"/>
    <numFmt numFmtId="169" formatCode="0.0%"/>
    <numFmt numFmtId="170" formatCode="#,##0.00000"/>
    <numFmt numFmtId="171" formatCode="0.000"/>
    <numFmt numFmtId="172" formatCode="#,##0.000"/>
    <numFmt numFmtId="173" formatCode="#,##0.0_);\(#,##0.0\)"/>
    <numFmt numFmtId="174" formatCode="#,##0.000_);\(#,##0.000\)"/>
    <numFmt numFmtId="175" formatCode="General_)"/>
    <numFmt numFmtId="176" formatCode="\U\S\$#,##0.00;\(\U\S\$#,##0.00\)"/>
    <numFmt numFmtId="177" formatCode="\(0.00%"/>
    <numFmt numFmtId="178" formatCode="0.00%\)"/>
    <numFmt numFmtId="179" formatCode="\U\S\$0"/>
    <numFmt numFmtId="180" formatCode="_(* #,##0.0_);_(* \(#,##0.0\);_(* &quot;-&quot;?_);_(@_)"/>
    <numFmt numFmtId="181" formatCode="_(* #,##0_);_(* \(#,##0\);_(* &quot;-&quot;??_);_(@_)"/>
    <numFmt numFmtId="182" formatCode="&quot;$&quot;#,##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b/>
      <sz val="10"/>
      <color indexed="42"/>
      <name val="Arial"/>
      <family val="2"/>
    </font>
    <font>
      <sz val="11"/>
      <name val="Univers"/>
    </font>
    <font>
      <sz val="9"/>
      <name val="Times New Roman"/>
      <family val="1"/>
    </font>
    <font>
      <sz val="10"/>
      <name val="Courier"/>
      <family val="3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2"/>
      <color indexed="8"/>
      <name val="Times New Roman"/>
      <family val="1"/>
    </font>
    <font>
      <sz val="10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6" fontId="7" fillId="0" borderId="0"/>
    <xf numFmtId="6" fontId="7" fillId="0" borderId="0"/>
    <xf numFmtId="166" fontId="1" fillId="0" borderId="0" applyFill="0" applyBorder="0" applyAlignment="0"/>
    <xf numFmtId="175" fontId="8" fillId="0" borderId="0" applyFill="0" applyBorder="0" applyAlignment="0"/>
    <xf numFmtId="171" fontId="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6" fontId="1" fillId="0" borderId="0" applyFill="0" applyBorder="0" applyAlignment="0"/>
    <xf numFmtId="177" fontId="1" fillId="0" borderId="0" applyFill="0" applyBorder="0" applyAlignment="0"/>
    <xf numFmtId="175" fontId="8" fillId="0" borderId="0" applyFill="0" applyBorder="0" applyAlignment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14" fontId="10" fillId="0" borderId="0" applyFill="0" applyBorder="0" applyAlignment="0"/>
    <xf numFmtId="176" fontId="1" fillId="0" borderId="1">
      <alignment vertical="center"/>
    </xf>
    <xf numFmtId="165" fontId="7" fillId="0" borderId="0" applyFont="0" applyFill="0" applyBorder="0" applyAlignment="0" applyProtection="0"/>
    <xf numFmtId="173" fontId="2" fillId="0" borderId="2" applyNumberFormat="0"/>
    <xf numFmtId="43" fontId="7" fillId="0" borderId="2" applyAlignment="0"/>
    <xf numFmtId="166" fontId="1" fillId="0" borderId="0" applyFill="0" applyBorder="0" applyAlignment="0"/>
    <xf numFmtId="175" fontId="8" fillId="0" borderId="0" applyFill="0" applyBorder="0" applyAlignment="0"/>
    <xf numFmtId="166" fontId="1" fillId="0" borderId="0" applyFill="0" applyBorder="0" applyAlignment="0"/>
    <xf numFmtId="177" fontId="1" fillId="0" borderId="0" applyFill="0" applyBorder="0" applyAlignment="0"/>
    <xf numFmtId="175" fontId="8" fillId="0" borderId="0" applyFill="0" applyBorder="0" applyAlignment="0"/>
    <xf numFmtId="38" fontId="11" fillId="2" borderId="0" applyNumberFormat="0" applyBorder="0" applyAlignment="0" applyProtection="0"/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6" fontId="7" fillId="0" borderId="0"/>
    <xf numFmtId="10" fontId="11" fillId="3" borderId="5" applyNumberFormat="0" applyBorder="0" applyAlignment="0" applyProtection="0"/>
    <xf numFmtId="6" fontId="7" fillId="0" borderId="0"/>
    <xf numFmtId="166" fontId="1" fillId="0" borderId="0" applyFill="0" applyBorder="0" applyAlignment="0"/>
    <xf numFmtId="175" fontId="8" fillId="0" borderId="0" applyFill="0" applyBorder="0" applyAlignment="0"/>
    <xf numFmtId="166" fontId="1" fillId="0" borderId="0" applyFill="0" applyBorder="0" applyAlignment="0"/>
    <xf numFmtId="177" fontId="1" fillId="0" borderId="0" applyFill="0" applyBorder="0" applyAlignment="0"/>
    <xf numFmtId="175" fontId="8" fillId="0" borderId="0" applyFill="0" applyBorder="0" applyAlignment="0"/>
    <xf numFmtId="37" fontId="13" fillId="0" borderId="0"/>
    <xf numFmtId="179" fontId="1" fillId="0" borderId="0"/>
    <xf numFmtId="0" fontId="14" fillId="4" borderId="0"/>
    <xf numFmtId="9" fontId="1" fillId="0" borderId="0" applyFont="0" applyFill="0" applyBorder="0" applyAlignment="0" applyProtection="0"/>
    <xf numFmtId="174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" fillId="0" borderId="0" applyFill="0" applyBorder="0" applyAlignment="0"/>
    <xf numFmtId="175" fontId="8" fillId="0" borderId="0" applyFill="0" applyBorder="0" applyAlignment="0"/>
    <xf numFmtId="166" fontId="1" fillId="0" borderId="0" applyFill="0" applyBorder="0" applyAlignment="0"/>
    <xf numFmtId="177" fontId="1" fillId="0" borderId="0" applyFill="0" applyBorder="0" applyAlignment="0"/>
    <xf numFmtId="175" fontId="8" fillId="0" borderId="0" applyFill="0" applyBorder="0" applyAlignment="0"/>
    <xf numFmtId="0" fontId="7" fillId="0" borderId="0"/>
    <xf numFmtId="49" fontId="10" fillId="0" borderId="0" applyFill="0" applyBorder="0" applyAlignment="0"/>
    <xf numFmtId="0" fontId="1" fillId="0" borderId="0" applyFill="0" applyBorder="0" applyAlignment="0"/>
    <xf numFmtId="178" fontId="1" fillId="0" borderId="0" applyFill="0" applyBorder="0" applyAlignment="0"/>
    <xf numFmtId="170" fontId="7" fillId="0" borderId="6" applyFill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138">
    <xf numFmtId="0" fontId="0" fillId="0" borderId="0" xfId="0"/>
    <xf numFmtId="0" fontId="5" fillId="0" borderId="7" xfId="47" applyFont="1" applyBorder="1" applyAlignment="1">
      <alignment horizontal="left" indent="1"/>
    </xf>
    <xf numFmtId="0" fontId="2" fillId="0" borderId="0" xfId="47" applyFont="1" applyBorder="1"/>
    <xf numFmtId="3" fontId="5" fillId="0" borderId="8" xfId="47" applyNumberFormat="1" applyFont="1" applyFill="1" applyBorder="1" applyAlignment="1" applyProtection="1">
      <alignment horizontal="center"/>
    </xf>
    <xf numFmtId="3" fontId="2" fillId="0" borderId="6" xfId="47" applyNumberFormat="1" applyFont="1" applyFill="1" applyBorder="1" applyAlignment="1" applyProtection="1">
      <alignment horizontal="center"/>
    </xf>
    <xf numFmtId="3" fontId="2" fillId="0" borderId="0" xfId="47" applyNumberFormat="1" applyFont="1" applyFill="1" applyBorder="1" applyAlignment="1" applyProtection="1">
      <alignment horizontal="center"/>
    </xf>
    <xf numFmtId="0" fontId="2" fillId="5" borderId="0" xfId="47" applyFont="1" applyFill="1" applyBorder="1" applyAlignment="1" applyProtection="1"/>
    <xf numFmtId="3" fontId="2" fillId="5" borderId="0" xfId="47" applyNumberFormat="1" applyFont="1" applyFill="1" applyBorder="1" applyAlignment="1" applyProtection="1">
      <alignment horizontal="center"/>
    </xf>
    <xf numFmtId="3" fontId="4" fillId="5" borderId="0" xfId="47" applyNumberFormat="1" applyFont="1" applyFill="1" applyBorder="1" applyAlignment="1" applyProtection="1">
      <alignment horizontal="center"/>
    </xf>
    <xf numFmtId="167" fontId="4" fillId="5" borderId="0" xfId="16" applyNumberFormat="1" applyFont="1" applyFill="1" applyBorder="1" applyAlignment="1" applyProtection="1">
      <alignment horizontal="center"/>
    </xf>
    <xf numFmtId="167" fontId="2" fillId="5" borderId="0" xfId="16" applyNumberFormat="1" applyFont="1" applyFill="1" applyBorder="1" applyAlignment="1" applyProtection="1">
      <alignment horizontal="center"/>
    </xf>
    <xf numFmtId="167" fontId="2" fillId="5" borderId="0" xfId="16" applyNumberFormat="1" applyFont="1" applyFill="1"/>
    <xf numFmtId="0" fontId="2" fillId="5" borderId="0" xfId="47" applyFont="1" applyFill="1"/>
    <xf numFmtId="0" fontId="2" fillId="5" borderId="0" xfId="47" applyFont="1" applyFill="1" applyAlignment="1" applyProtection="1"/>
    <xf numFmtId="0" fontId="2" fillId="5" borderId="0" xfId="47" applyFont="1" applyFill="1" applyAlignment="1" applyProtection="1">
      <alignment horizontal="center"/>
    </xf>
    <xf numFmtId="0" fontId="5" fillId="5" borderId="0" xfId="47" applyFont="1" applyFill="1" applyBorder="1" applyAlignment="1" applyProtection="1"/>
    <xf numFmtId="0" fontId="2" fillId="0" borderId="0" xfId="47" applyFont="1" applyFill="1" applyBorder="1" applyAlignment="1" applyProtection="1">
      <alignment horizontal="center"/>
    </xf>
    <xf numFmtId="168" fontId="2" fillId="0" borderId="0" xfId="47" applyNumberFormat="1" applyFont="1" applyFill="1" applyBorder="1" applyAlignment="1" applyProtection="1">
      <alignment horizontal="center"/>
    </xf>
    <xf numFmtId="0" fontId="2" fillId="4" borderId="0" xfId="47" applyFont="1" applyFill="1" applyBorder="1" applyAlignment="1" applyProtection="1">
      <alignment horizontal="center"/>
    </xf>
    <xf numFmtId="2" fontId="2" fillId="0" borderId="0" xfId="47" applyNumberFormat="1" applyFont="1" applyFill="1" applyBorder="1" applyAlignment="1" applyProtection="1">
      <alignment horizontal="center"/>
    </xf>
    <xf numFmtId="3" fontId="2" fillId="5" borderId="0" xfId="47" quotePrefix="1" applyNumberFormat="1" applyFont="1" applyFill="1" applyBorder="1" applyAlignment="1" applyProtection="1"/>
    <xf numFmtId="0" fontId="2" fillId="5" borderId="0" xfId="47" applyFont="1" applyFill="1" applyBorder="1" applyAlignment="1" applyProtection="1">
      <alignment horizontal="center"/>
    </xf>
    <xf numFmtId="3" fontId="2" fillId="5" borderId="0" xfId="47" applyNumberFormat="1" applyFont="1" applyFill="1" applyAlignment="1" applyProtection="1"/>
    <xf numFmtId="3" fontId="2" fillId="0" borderId="6" xfId="38" applyNumberFormat="1" applyFont="1" applyBorder="1"/>
    <xf numFmtId="0" fontId="2" fillId="0" borderId="9" xfId="47" applyFont="1" applyBorder="1" applyAlignment="1">
      <alignment horizontal="left" indent="1"/>
    </xf>
    <xf numFmtId="0" fontId="2" fillId="0" borderId="6" xfId="47" applyFont="1" applyBorder="1"/>
    <xf numFmtId="10" fontId="2" fillId="0" borderId="6" xfId="38" applyNumberFormat="1" applyFont="1" applyBorder="1"/>
    <xf numFmtId="0" fontId="2" fillId="5" borderId="0" xfId="47" applyNumberFormat="1" applyFont="1" applyFill="1" applyAlignment="1" applyProtection="1"/>
    <xf numFmtId="0" fontId="2" fillId="5" borderId="0" xfId="47" applyNumberFormat="1" applyFont="1" applyFill="1" applyAlignment="1" applyProtection="1">
      <alignment horizontal="center"/>
    </xf>
    <xf numFmtId="0" fontId="2" fillId="5" borderId="0" xfId="47" applyNumberFormat="1" applyFont="1" applyFill="1"/>
    <xf numFmtId="0" fontId="2" fillId="5" borderId="0" xfId="0" applyNumberFormat="1" applyFont="1" applyFill="1" applyBorder="1" applyAlignment="1">
      <alignment wrapText="1"/>
    </xf>
    <xf numFmtId="0" fontId="2" fillId="5" borderId="0" xfId="47" applyNumberFormat="1" applyFont="1" applyFill="1" applyBorder="1" applyAlignment="1" applyProtection="1"/>
    <xf numFmtId="0" fontId="2" fillId="5" borderId="0" xfId="47" applyNumberFormat="1" applyFont="1" applyFill="1" applyBorder="1" applyAlignment="1" applyProtection="1">
      <alignment horizontal="center"/>
    </xf>
    <xf numFmtId="0" fontId="4" fillId="5" borderId="0" xfId="47" applyNumberFormat="1" applyFont="1" applyFill="1" applyBorder="1" applyAlignment="1" applyProtection="1">
      <alignment horizontal="center"/>
    </xf>
    <xf numFmtId="0" fontId="2" fillId="0" borderId="7" xfId="47" applyFont="1" applyBorder="1" applyAlignment="1">
      <alignment horizontal="left" indent="2"/>
    </xf>
    <xf numFmtId="0" fontId="2" fillId="0" borderId="7" xfId="47" quotePrefix="1" applyFont="1" applyBorder="1" applyAlignment="1">
      <alignment horizontal="left" indent="2"/>
    </xf>
    <xf numFmtId="168" fontId="2" fillId="0" borderId="0" xfId="47" applyNumberFormat="1" applyFont="1" applyBorder="1"/>
    <xf numFmtId="0" fontId="5" fillId="0" borderId="7" xfId="0" applyFont="1" applyFill="1" applyBorder="1" applyAlignment="1" applyProtection="1">
      <alignment horizontal="left" indent="1"/>
    </xf>
    <xf numFmtId="0" fontId="5" fillId="0" borderId="0" xfId="0" quotePrefix="1" applyFont="1" applyFill="1" applyBorder="1" applyAlignment="1" applyProtection="1"/>
    <xf numFmtId="0" fontId="2" fillId="0" borderId="0" xfId="0" applyFont="1" applyFill="1" applyBorder="1" applyAlignment="1" applyProtection="1"/>
    <xf numFmtId="2" fontId="2" fillId="0" borderId="0" xfId="38" applyNumberFormat="1" applyFont="1" applyFill="1" applyBorder="1" applyAlignment="1" applyProtection="1">
      <alignment horizontal="right"/>
    </xf>
    <xf numFmtId="169" fontId="2" fillId="0" borderId="0" xfId="38" applyNumberFormat="1" applyFont="1" applyFill="1" applyBorder="1" applyAlignment="1" applyProtection="1">
      <alignment horizontal="left"/>
    </xf>
    <xf numFmtId="168" fontId="5" fillId="0" borderId="6" xfId="47" applyNumberFormat="1" applyFont="1" applyFill="1" applyBorder="1" applyAlignment="1" applyProtection="1">
      <alignment horizontal="centerContinuous" vertical="center"/>
    </xf>
    <xf numFmtId="0" fontId="2" fillId="0" borderId="6" xfId="47" applyFont="1" applyFill="1" applyBorder="1" applyAlignment="1" applyProtection="1">
      <alignment horizontal="center"/>
    </xf>
    <xf numFmtId="3" fontId="5" fillId="0" borderId="6" xfId="47" applyNumberFormat="1" applyFont="1" applyFill="1" applyBorder="1" applyAlignment="1" applyProtection="1">
      <alignment horizontal="left" indent="1"/>
    </xf>
    <xf numFmtId="1" fontId="5" fillId="6" borderId="5" xfId="38" applyNumberFormat="1" applyFont="1" applyFill="1" applyBorder="1" applyAlignment="1">
      <alignment horizontal="center"/>
    </xf>
    <xf numFmtId="1" fontId="5" fillId="7" borderId="5" xfId="38" applyNumberFormat="1" applyFont="1" applyFill="1" applyBorder="1" applyAlignment="1">
      <alignment horizontal="center"/>
    </xf>
    <xf numFmtId="0" fontId="2" fillId="0" borderId="0" xfId="47" applyNumberFormat="1" applyFont="1" applyBorder="1"/>
    <xf numFmtId="0" fontId="5" fillId="0" borderId="0" xfId="47" applyNumberFormat="1" applyFont="1" applyBorder="1"/>
    <xf numFmtId="0" fontId="5" fillId="0" borderId="0" xfId="47" applyNumberFormat="1" applyFont="1" applyFill="1" applyBorder="1"/>
    <xf numFmtId="0" fontId="2" fillId="0" borderId="0" xfId="38" applyNumberFormat="1" applyFont="1" applyFill="1" applyBorder="1" applyAlignment="1" applyProtection="1">
      <alignment horizontal="center" wrapText="1"/>
    </xf>
    <xf numFmtId="0" fontId="2" fillId="0" borderId="6" xfId="47" applyNumberFormat="1" applyFont="1" applyBorder="1"/>
    <xf numFmtId="9" fontId="5" fillId="8" borderId="5" xfId="38" applyFont="1" applyFill="1" applyBorder="1" applyAlignment="1">
      <alignment horizontal="center"/>
    </xf>
    <xf numFmtId="0" fontId="5" fillId="8" borderId="5" xfId="38" applyNumberFormat="1" applyFont="1" applyFill="1" applyBorder="1" applyAlignment="1">
      <alignment horizontal="center"/>
    </xf>
    <xf numFmtId="169" fontId="2" fillId="0" borderId="8" xfId="38" applyNumberFormat="1" applyFont="1" applyFill="1" applyBorder="1" applyAlignment="1" applyProtection="1">
      <alignment horizontal="right"/>
    </xf>
    <xf numFmtId="2" fontId="2" fillId="0" borderId="8" xfId="38" applyNumberFormat="1" applyFont="1" applyFill="1" applyBorder="1" applyAlignment="1" applyProtection="1">
      <alignment horizontal="right"/>
    </xf>
    <xf numFmtId="3" fontId="2" fillId="0" borderId="12" xfId="38" applyNumberFormat="1" applyFont="1" applyBorder="1"/>
    <xf numFmtId="3" fontId="2" fillId="0" borderId="7" xfId="47" applyNumberFormat="1" applyFont="1" applyFill="1" applyBorder="1" applyAlignment="1" applyProtection="1">
      <alignment horizontal="left" indent="1"/>
    </xf>
    <xf numFmtId="0" fontId="2" fillId="4" borderId="8" xfId="47" applyFont="1" applyFill="1" applyBorder="1" applyAlignment="1" applyProtection="1">
      <alignment horizontal="center"/>
    </xf>
    <xf numFmtId="2" fontId="2" fillId="0" borderId="8" xfId="47" applyNumberFormat="1" applyFont="1" applyFill="1" applyBorder="1" applyAlignment="1" applyProtection="1">
      <alignment horizontal="center"/>
    </xf>
    <xf numFmtId="3" fontId="2" fillId="0" borderId="9" xfId="47" quotePrefix="1" applyNumberFormat="1" applyFont="1" applyFill="1" applyBorder="1" applyAlignment="1" applyProtection="1"/>
    <xf numFmtId="0" fontId="2" fillId="0" borderId="12" xfId="47" applyFont="1" applyFill="1" applyBorder="1" applyAlignment="1" applyProtection="1">
      <alignment horizontal="center"/>
    </xf>
    <xf numFmtId="0" fontId="2" fillId="0" borderId="8" xfId="47" applyFont="1" applyFill="1" applyBorder="1" applyAlignment="1" applyProtection="1">
      <alignment horizontal="center"/>
    </xf>
    <xf numFmtId="3" fontId="5" fillId="0" borderId="7" xfId="47" applyNumberFormat="1" applyFont="1" applyFill="1" applyBorder="1" applyAlignment="1" applyProtection="1">
      <alignment horizontal="left" indent="1"/>
    </xf>
    <xf numFmtId="3" fontId="5" fillId="0" borderId="9" xfId="47" applyNumberFormat="1" applyFont="1" applyFill="1" applyBorder="1" applyAlignment="1" applyProtection="1">
      <alignment horizontal="left" indent="1"/>
    </xf>
    <xf numFmtId="168" fontId="5" fillId="0" borderId="12" xfId="47" applyNumberFormat="1" applyFont="1" applyFill="1" applyBorder="1" applyAlignment="1" applyProtection="1">
      <alignment horizontal="centerContinuous" vertical="center"/>
    </xf>
    <xf numFmtId="3" fontId="2" fillId="0" borderId="7" xfId="47" quotePrefix="1" applyNumberFormat="1" applyFont="1" applyFill="1" applyBorder="1" applyAlignment="1" applyProtection="1">
      <alignment horizontal="left" indent="2"/>
    </xf>
    <xf numFmtId="168" fontId="2" fillId="0" borderId="8" xfId="47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left" indent="1"/>
    </xf>
    <xf numFmtId="3" fontId="2" fillId="0" borderId="9" xfId="47" applyNumberFormat="1" applyFont="1" applyFill="1" applyBorder="1" applyAlignment="1" applyProtection="1">
      <alignment horizontal="left" indent="1"/>
    </xf>
    <xf numFmtId="169" fontId="2" fillId="0" borderId="6" xfId="38" applyNumberFormat="1" applyFont="1" applyFill="1" applyBorder="1" applyAlignment="1" applyProtection="1">
      <alignment horizontal="center"/>
    </xf>
    <xf numFmtId="168" fontId="2" fillId="0" borderId="6" xfId="47" applyNumberFormat="1" applyFont="1" applyFill="1" applyBorder="1" applyAlignment="1" applyProtection="1">
      <alignment horizontal="center"/>
    </xf>
    <xf numFmtId="168" fontId="2" fillId="0" borderId="12" xfId="47" applyNumberFormat="1" applyFont="1" applyFill="1" applyBorder="1" applyAlignment="1" applyProtection="1">
      <alignment horizontal="center"/>
    </xf>
    <xf numFmtId="0" fontId="2" fillId="8" borderId="10" xfId="47" applyFont="1" applyFill="1" applyBorder="1" applyAlignment="1" applyProtection="1">
      <alignment horizontal="center"/>
    </xf>
    <xf numFmtId="0" fontId="2" fillId="8" borderId="4" xfId="47" applyFont="1" applyFill="1" applyBorder="1" applyAlignment="1" applyProtection="1">
      <alignment horizontal="center"/>
    </xf>
    <xf numFmtId="0" fontId="2" fillId="8" borderId="11" xfId="47" applyFont="1" applyFill="1" applyBorder="1" applyAlignment="1" applyProtection="1">
      <alignment horizontal="center"/>
    </xf>
    <xf numFmtId="0" fontId="2" fillId="0" borderId="7" xfId="0" applyFont="1" applyBorder="1" applyAlignment="1">
      <alignment horizontal="left" indent="2"/>
    </xf>
    <xf numFmtId="41" fontId="2" fillId="0" borderId="0" xfId="47" applyNumberFormat="1" applyFont="1" applyBorder="1"/>
    <xf numFmtId="41" fontId="5" fillId="0" borderId="0" xfId="47" applyNumberFormat="1" applyFont="1" applyBorder="1"/>
    <xf numFmtId="41" fontId="5" fillId="0" borderId="8" xfId="47" applyNumberFormat="1" applyFont="1" applyBorder="1"/>
    <xf numFmtId="41" fontId="2" fillId="0" borderId="0" xfId="38" applyNumberFormat="1" applyFont="1" applyFill="1" applyBorder="1" applyAlignment="1" applyProtection="1">
      <alignment horizontal="center" wrapText="1"/>
    </xf>
    <xf numFmtId="41" fontId="2" fillId="0" borderId="8" xfId="38" applyNumberFormat="1" applyFont="1" applyFill="1" applyBorder="1" applyAlignment="1" applyProtection="1">
      <alignment horizontal="center" wrapText="1"/>
    </xf>
    <xf numFmtId="41" fontId="2" fillId="0" borderId="6" xfId="47" applyNumberFormat="1" applyFont="1" applyBorder="1"/>
    <xf numFmtId="41" fontId="2" fillId="0" borderId="12" xfId="38" applyNumberFormat="1" applyFont="1" applyBorder="1"/>
    <xf numFmtId="168" fontId="2" fillId="0" borderId="8" xfId="47" applyNumberFormat="1" applyFont="1" applyBorder="1"/>
    <xf numFmtId="168" fontId="2" fillId="0" borderId="6" xfId="47" applyNumberFormat="1" applyFont="1" applyBorder="1"/>
    <xf numFmtId="9" fontId="2" fillId="0" borderId="8" xfId="38" applyFont="1" applyFill="1" applyBorder="1" applyAlignment="1" applyProtection="1"/>
    <xf numFmtId="3" fontId="5" fillId="0" borderId="0" xfId="47" applyNumberFormat="1" applyFont="1" applyFill="1" applyBorder="1" applyAlignment="1" applyProtection="1">
      <alignment horizontal="center"/>
    </xf>
    <xf numFmtId="3" fontId="5" fillId="0" borderId="0" xfId="47" applyNumberFormat="1" applyFont="1" applyFill="1" applyBorder="1" applyAlignment="1" applyProtection="1">
      <alignment horizontal="center" vertical="top" wrapText="1"/>
    </xf>
    <xf numFmtId="169" fontId="2" fillId="0" borderId="0" xfId="38" quotePrefix="1" applyNumberFormat="1" applyFont="1" applyFill="1" applyBorder="1" applyAlignment="1" applyProtection="1"/>
    <xf numFmtId="169" fontId="2" fillId="0" borderId="0" xfId="38" applyNumberFormat="1" applyFont="1" applyFill="1" applyBorder="1" applyAlignment="1" applyProtection="1"/>
    <xf numFmtId="180" fontId="2" fillId="0" borderId="0" xfId="0" applyNumberFormat="1" applyFont="1" applyFill="1" applyBorder="1" applyAlignment="1" applyProtection="1"/>
    <xf numFmtId="181" fontId="2" fillId="0" borderId="0" xfId="38" applyNumberFormat="1" applyFont="1" applyFill="1" applyBorder="1" applyAlignment="1" applyProtection="1">
      <alignment horizontal="center" wrapText="1"/>
    </xf>
    <xf numFmtId="182" fontId="5" fillId="0" borderId="5" xfId="12" applyNumberFormat="1" applyFont="1" applyFill="1" applyBorder="1" applyAlignment="1" applyProtection="1">
      <alignment horizontal="center" wrapText="1"/>
    </xf>
    <xf numFmtId="43" fontId="2" fillId="0" borderId="6" xfId="47" applyNumberFormat="1" applyFont="1" applyBorder="1"/>
    <xf numFmtId="0" fontId="2" fillId="0" borderId="0" xfId="47" applyFont="1" applyFill="1" applyBorder="1" applyAlignment="1" applyProtection="1">
      <alignment horizontal="left"/>
    </xf>
    <xf numFmtId="168" fontId="2" fillId="0" borderId="0" xfId="47" applyNumberFormat="1" applyFont="1" applyFill="1" applyBorder="1" applyAlignment="1" applyProtection="1">
      <alignment horizontal="right"/>
    </xf>
    <xf numFmtId="169" fontId="2" fillId="0" borderId="0" xfId="38" applyNumberFormat="1" applyFont="1" applyFill="1" applyBorder="1" applyAlignment="1" applyProtection="1">
      <alignment horizontal="center"/>
    </xf>
    <xf numFmtId="9" fontId="5" fillId="8" borderId="13" xfId="38" applyFont="1" applyFill="1" applyBorder="1" applyAlignment="1">
      <alignment horizontal="center"/>
    </xf>
    <xf numFmtId="1" fontId="5" fillId="0" borderId="0" xfId="38" applyNumberFormat="1" applyFont="1" applyFill="1" applyBorder="1" applyAlignment="1">
      <alignment horizontal="center"/>
    </xf>
    <xf numFmtId="0" fontId="2" fillId="0" borderId="7" xfId="47" applyFont="1" applyBorder="1" applyAlignment="1">
      <alignment horizontal="left" indent="3"/>
    </xf>
    <xf numFmtId="182" fontId="5" fillId="8" borderId="13" xfId="12" applyNumberFormat="1" applyFont="1" applyFill="1" applyBorder="1" applyAlignment="1" applyProtection="1">
      <alignment horizontal="center" wrapText="1"/>
    </xf>
    <xf numFmtId="182" fontId="5" fillId="8" borderId="14" xfId="12" applyNumberFormat="1" applyFont="1" applyFill="1" applyBorder="1" applyAlignment="1" applyProtection="1">
      <alignment horizontal="center" wrapText="1"/>
    </xf>
    <xf numFmtId="182" fontId="5" fillId="8" borderId="15" xfId="12" applyNumberFormat="1" applyFont="1" applyFill="1" applyBorder="1" applyAlignment="1" applyProtection="1">
      <alignment horizontal="center" wrapText="1"/>
    </xf>
    <xf numFmtId="0" fontId="2" fillId="0" borderId="9" xfId="47" applyFont="1" applyBorder="1" applyAlignment="1">
      <alignment horizontal="left" indent="2"/>
    </xf>
    <xf numFmtId="9" fontId="2" fillId="8" borderId="5" xfId="38" applyFont="1" applyFill="1" applyBorder="1" applyAlignment="1" applyProtection="1">
      <alignment horizontal="center"/>
    </xf>
    <xf numFmtId="9" fontId="2" fillId="8" borderId="13" xfId="38" applyFont="1" applyFill="1" applyBorder="1" applyAlignment="1" applyProtection="1">
      <alignment horizontal="center"/>
    </xf>
    <xf numFmtId="9" fontId="2" fillId="8" borderId="14" xfId="38" applyFont="1" applyFill="1" applyBorder="1" applyAlignment="1" applyProtection="1">
      <alignment horizontal="center"/>
    </xf>
    <xf numFmtId="9" fontId="2" fillId="8" borderId="15" xfId="38" applyFont="1" applyFill="1" applyBorder="1" applyAlignment="1" applyProtection="1">
      <alignment horizontal="center"/>
    </xf>
    <xf numFmtId="3" fontId="2" fillId="0" borderId="7" xfId="47" quotePrefix="1" applyNumberFormat="1" applyFont="1" applyFill="1" applyBorder="1" applyAlignment="1" applyProtection="1">
      <alignment horizontal="left" indent="1"/>
    </xf>
    <xf numFmtId="1" fontId="5" fillId="0" borderId="13" xfId="38" applyNumberFormat="1" applyFont="1" applyFill="1" applyBorder="1" applyAlignment="1">
      <alignment horizontal="center"/>
    </xf>
    <xf numFmtId="6" fontId="5" fillId="8" borderId="13" xfId="38" applyNumberFormat="1" applyFont="1" applyFill="1" applyBorder="1" applyAlignment="1">
      <alignment horizontal="center"/>
    </xf>
    <xf numFmtId="9" fontId="2" fillId="0" borderId="0" xfId="38" applyFont="1" applyFill="1" applyBorder="1" applyAlignment="1">
      <alignment horizontal="center"/>
    </xf>
    <xf numFmtId="169" fontId="2" fillId="8" borderId="10" xfId="38" applyNumberFormat="1" applyFont="1" applyFill="1" applyBorder="1" applyAlignment="1">
      <alignment horizontal="center"/>
    </xf>
    <xf numFmtId="169" fontId="2" fillId="8" borderId="4" xfId="38" applyNumberFormat="1" applyFont="1" applyFill="1" applyBorder="1" applyAlignment="1">
      <alignment horizontal="center"/>
    </xf>
    <xf numFmtId="169" fontId="2" fillId="8" borderId="11" xfId="38" applyNumberFormat="1" applyFont="1" applyFill="1" applyBorder="1" applyAlignment="1">
      <alignment horizontal="center"/>
    </xf>
    <xf numFmtId="9" fontId="2" fillId="8" borderId="10" xfId="38" applyFont="1" applyFill="1" applyBorder="1" applyAlignment="1">
      <alignment horizontal="center"/>
    </xf>
    <xf numFmtId="9" fontId="2" fillId="8" borderId="4" xfId="38" applyFont="1" applyFill="1" applyBorder="1" applyAlignment="1">
      <alignment horizontal="center"/>
    </xf>
    <xf numFmtId="9" fontId="2" fillId="8" borderId="11" xfId="38" applyFont="1" applyFill="1" applyBorder="1" applyAlignment="1">
      <alignment horizontal="center"/>
    </xf>
    <xf numFmtId="0" fontId="2" fillId="0" borderId="7" xfId="0" applyFont="1" applyBorder="1" applyAlignment="1">
      <alignment horizontal="left" indent="3"/>
    </xf>
    <xf numFmtId="0" fontId="6" fillId="10" borderId="10" xfId="47" applyNumberFormat="1" applyFont="1" applyFill="1" applyBorder="1" applyAlignment="1" applyProtection="1">
      <alignment horizontal="center"/>
    </xf>
    <xf numFmtId="0" fontId="6" fillId="10" borderId="4" xfId="47" applyNumberFormat="1" applyFont="1" applyFill="1" applyBorder="1" applyAlignment="1" applyProtection="1">
      <alignment horizontal="center"/>
    </xf>
    <xf numFmtId="0" fontId="3" fillId="10" borderId="4" xfId="47" applyNumberFormat="1" applyFont="1" applyFill="1" applyBorder="1" applyAlignment="1" applyProtection="1">
      <alignment horizontal="center"/>
    </xf>
    <xf numFmtId="0" fontId="3" fillId="10" borderId="11" xfId="47" applyNumberFormat="1" applyFont="1" applyFill="1" applyBorder="1" applyAlignment="1" applyProtection="1">
      <alignment horizontal="center"/>
    </xf>
    <xf numFmtId="3" fontId="3" fillId="10" borderId="10" xfId="47" applyNumberFormat="1" applyFont="1" applyFill="1" applyBorder="1" applyAlignment="1" applyProtection="1">
      <alignment horizontal="left" indent="1"/>
    </xf>
    <xf numFmtId="3" fontId="3" fillId="10" borderId="4" xfId="47" applyNumberFormat="1" applyFont="1" applyFill="1" applyBorder="1" applyAlignment="1" applyProtection="1">
      <alignment horizontal="center"/>
    </xf>
    <xf numFmtId="3" fontId="3" fillId="10" borderId="11" xfId="47" applyNumberFormat="1" applyFont="1" applyFill="1" applyBorder="1" applyAlignment="1" applyProtection="1">
      <alignment horizontal="center"/>
    </xf>
    <xf numFmtId="3" fontId="15" fillId="10" borderId="4" xfId="47" applyNumberFormat="1" applyFont="1" applyFill="1" applyBorder="1" applyAlignment="1" applyProtection="1">
      <alignment horizontal="center"/>
    </xf>
    <xf numFmtId="3" fontId="15" fillId="10" borderId="11" xfId="47" applyNumberFormat="1" applyFont="1" applyFill="1" applyBorder="1" applyAlignment="1" applyProtection="1">
      <alignment horizontal="center"/>
    </xf>
    <xf numFmtId="3" fontId="3" fillId="10" borderId="4" xfId="47" quotePrefix="1" applyNumberFormat="1" applyFont="1" applyFill="1" applyBorder="1" applyAlignment="1" applyProtection="1">
      <alignment horizontal="left" indent="1"/>
    </xf>
    <xf numFmtId="3" fontId="3" fillId="10" borderId="11" xfId="47" quotePrefix="1" applyNumberFormat="1" applyFont="1" applyFill="1" applyBorder="1" applyAlignment="1" applyProtection="1">
      <alignment horizontal="left" indent="1"/>
    </xf>
    <xf numFmtId="9" fontId="5" fillId="11" borderId="5" xfId="38" applyFont="1" applyFill="1" applyBorder="1" applyAlignment="1">
      <alignment horizontal="center"/>
    </xf>
    <xf numFmtId="0" fontId="5" fillId="11" borderId="5" xfId="38" applyNumberFormat="1" applyFont="1" applyFill="1" applyBorder="1" applyAlignment="1">
      <alignment horizontal="center"/>
    </xf>
    <xf numFmtId="9" fontId="5" fillId="0" borderId="13" xfId="38" applyFont="1" applyFill="1" applyBorder="1" applyAlignment="1">
      <alignment horizontal="center"/>
    </xf>
    <xf numFmtId="3" fontId="2" fillId="0" borderId="0" xfId="47" applyNumberFormat="1" applyFont="1" applyFill="1" applyBorder="1" applyAlignment="1" applyProtection="1">
      <alignment horizontal="left"/>
    </xf>
    <xf numFmtId="3" fontId="2" fillId="9" borderId="10" xfId="47" applyNumberFormat="1" applyFont="1" applyFill="1" applyBorder="1" applyAlignment="1" applyProtection="1">
      <alignment horizontal="left"/>
    </xf>
    <xf numFmtId="3" fontId="2" fillId="9" borderId="4" xfId="47" applyNumberFormat="1" applyFont="1" applyFill="1" applyBorder="1" applyAlignment="1" applyProtection="1">
      <alignment horizontal="left"/>
    </xf>
    <xf numFmtId="3" fontId="2" fillId="9" borderId="11" xfId="47" applyNumberFormat="1" applyFont="1" applyFill="1" applyBorder="1" applyAlignment="1" applyProtection="1">
      <alignment horizontal="left"/>
    </xf>
  </cellXfs>
  <cellStyles count="54">
    <cellStyle name="+" xfId="1" xr:uid="{00000000-0005-0000-0000-000000000000}"/>
    <cellStyle name="AFE" xfId="2" xr:uid="{00000000-0005-0000-0000-000001000000}"/>
    <cellStyle name="Calc Currency (0)" xfId="3" xr:uid="{00000000-0005-0000-0000-000002000000}"/>
    <cellStyle name="Calc Currency (2)" xfId="4" xr:uid="{00000000-0005-0000-0000-000003000000}"/>
    <cellStyle name="Calc Percent (0)" xfId="5" xr:uid="{00000000-0005-0000-0000-000004000000}"/>
    <cellStyle name="Calc Percent (1)" xfId="6" xr:uid="{00000000-0005-0000-0000-000005000000}"/>
    <cellStyle name="Calc Percent (2)" xfId="7" xr:uid="{00000000-0005-0000-0000-000006000000}"/>
    <cellStyle name="Calc Units (0)" xfId="8" xr:uid="{00000000-0005-0000-0000-000007000000}"/>
    <cellStyle name="Calc Units (1)" xfId="9" xr:uid="{00000000-0005-0000-0000-000008000000}"/>
    <cellStyle name="Calc Units (2)" xfId="10" xr:uid="{00000000-0005-0000-0000-000009000000}"/>
    <cellStyle name="Comma [00]" xfId="11" xr:uid="{00000000-0005-0000-0000-00000A000000}"/>
    <cellStyle name="Currency" xfId="12" builtinId="4"/>
    <cellStyle name="Currency [00]" xfId="13" xr:uid="{00000000-0005-0000-0000-00000C000000}"/>
    <cellStyle name="Date Short" xfId="14" xr:uid="{00000000-0005-0000-0000-00000D000000}"/>
    <cellStyle name="DELTA" xfId="15" xr:uid="{00000000-0005-0000-0000-00000E000000}"/>
    <cellStyle name="Dezimal_20020617_Modell_PUFA_neu_v9" xfId="16" xr:uid="{00000000-0005-0000-0000-00000F000000}"/>
    <cellStyle name="Dot" xfId="17" xr:uid="{00000000-0005-0000-0000-000010000000}"/>
    <cellStyle name="Dot%" xfId="18" xr:uid="{00000000-0005-0000-0000-000011000000}"/>
    <cellStyle name="Enter Currency (0)" xfId="19" xr:uid="{00000000-0005-0000-0000-000012000000}"/>
    <cellStyle name="Enter Currency (2)" xfId="20" xr:uid="{00000000-0005-0000-0000-000013000000}"/>
    <cellStyle name="Enter Units (0)" xfId="21" xr:uid="{00000000-0005-0000-0000-000014000000}"/>
    <cellStyle name="Enter Units (1)" xfId="22" xr:uid="{00000000-0005-0000-0000-000015000000}"/>
    <cellStyle name="Enter Units (2)" xfId="23" xr:uid="{00000000-0005-0000-0000-000016000000}"/>
    <cellStyle name="Grey" xfId="24" xr:uid="{00000000-0005-0000-0000-000017000000}"/>
    <cellStyle name="Header1" xfId="25" xr:uid="{00000000-0005-0000-0000-000018000000}"/>
    <cellStyle name="Header2" xfId="26" xr:uid="{00000000-0005-0000-0000-000019000000}"/>
    <cellStyle name="input" xfId="27" xr:uid="{00000000-0005-0000-0000-00001A000000}"/>
    <cellStyle name="Input [yellow]" xfId="28" xr:uid="{00000000-0005-0000-0000-00001B000000}"/>
    <cellStyle name="input_mast22" xfId="29" xr:uid="{00000000-0005-0000-0000-00001C000000}"/>
    <cellStyle name="Link Currency (0)" xfId="30" xr:uid="{00000000-0005-0000-0000-00001D000000}"/>
    <cellStyle name="Link Currency (2)" xfId="31" xr:uid="{00000000-0005-0000-0000-00001E000000}"/>
    <cellStyle name="Link Units (0)" xfId="32" xr:uid="{00000000-0005-0000-0000-00001F000000}"/>
    <cellStyle name="Link Units (1)" xfId="33" xr:uid="{00000000-0005-0000-0000-000020000000}"/>
    <cellStyle name="Link Units (2)" xfId="34" xr:uid="{00000000-0005-0000-0000-000021000000}"/>
    <cellStyle name="no dec" xfId="35" xr:uid="{00000000-0005-0000-0000-000022000000}"/>
    <cellStyle name="Normal" xfId="0" builtinId="0"/>
    <cellStyle name="Normal - Style1" xfId="36" xr:uid="{00000000-0005-0000-0000-000024000000}"/>
    <cellStyle name="paint" xfId="37" xr:uid="{00000000-0005-0000-0000-000025000000}"/>
    <cellStyle name="Percent" xfId="38" builtinId="5"/>
    <cellStyle name="Percent [0]" xfId="39" xr:uid="{00000000-0005-0000-0000-000027000000}"/>
    <cellStyle name="Percent [00]" xfId="40" xr:uid="{00000000-0005-0000-0000-000028000000}"/>
    <cellStyle name="Percent [2]" xfId="41" xr:uid="{00000000-0005-0000-0000-000029000000}"/>
    <cellStyle name="PrePop Currency (0)" xfId="42" xr:uid="{00000000-0005-0000-0000-00002A000000}"/>
    <cellStyle name="PrePop Currency (2)" xfId="43" xr:uid="{00000000-0005-0000-0000-00002B000000}"/>
    <cellStyle name="PrePop Units (0)" xfId="44" xr:uid="{00000000-0005-0000-0000-00002C000000}"/>
    <cellStyle name="PrePop Units (1)" xfId="45" xr:uid="{00000000-0005-0000-0000-00002D000000}"/>
    <cellStyle name="PrePop Units (2)" xfId="46" xr:uid="{00000000-0005-0000-0000-00002E000000}"/>
    <cellStyle name="Standard_20020617_Modell_PUFA_neu_v9" xfId="47" xr:uid="{00000000-0005-0000-0000-00002F000000}"/>
    <cellStyle name="Text Indent A" xfId="48" xr:uid="{00000000-0005-0000-0000-000030000000}"/>
    <cellStyle name="Text Indent B" xfId="49" xr:uid="{00000000-0005-0000-0000-000031000000}"/>
    <cellStyle name="Text Indent C" xfId="50" xr:uid="{00000000-0005-0000-0000-000032000000}"/>
    <cellStyle name="Title" xfId="51" builtinId="15" customBuiltin="1"/>
    <cellStyle name="標準_NTT G.Lite Pricing Jan 25th" xfId="52" xr:uid="{00000000-0005-0000-0000-000034000000}"/>
    <cellStyle name="通貨 [0.00]_NTT G.Lite Pricing Jan 25th" xfId="53" xr:uid="{00000000-0005-0000-0000-00003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B2D3F"/>
      <rgbColor rgb="000000FF"/>
      <rgbColor rgb="002E1700"/>
      <rgbColor rgb="00000000"/>
      <rgbColor rgb="00FFFDDC"/>
      <rgbColor rgb="00800000"/>
      <rgbColor rgb="00008000"/>
      <rgbColor rgb="00000080"/>
      <rgbColor rgb="00808000"/>
      <rgbColor rgb="00800080"/>
      <rgbColor rgb="00008080"/>
      <rgbColor rgb="0099FF9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7E366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A11D26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E69D1C"/>
      <rgbColor rgb="00333399"/>
      <rgbColor rgb="00333333"/>
    </indexedColors>
    <mruColors>
      <color rgb="FFC0C0C0"/>
      <color rgb="FF96969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1">
    <pageSetUpPr fitToPage="1"/>
  </sheetPr>
  <dimension ref="A1:IT73"/>
  <sheetViews>
    <sheetView showGridLines="0" tabSelected="1" zoomScaleNormal="82" zoomScaleSheetLayoutView="65" workbookViewId="0">
      <pane ySplit="2" topLeftCell="A3" activePane="bottomLeft" state="frozen"/>
      <selection activeCell="K7" sqref="K7"/>
      <selection pane="bottomLeft"/>
    </sheetView>
  </sheetViews>
  <sheetFormatPr defaultColWidth="0" defaultRowHeight="12.75" x14ac:dyDescent="0.2"/>
  <cols>
    <col min="1" max="1" width="2.7109375" style="13" customWidth="1"/>
    <col min="2" max="2" width="40.7109375" style="13" customWidth="1"/>
    <col min="3" max="3" width="15.7109375" style="14" customWidth="1"/>
    <col min="4" max="4" width="14.7109375" style="14" customWidth="1"/>
    <col min="5" max="22" width="7.7109375" style="14" customWidth="1"/>
    <col min="23" max="23" width="2.7109375" style="14" customWidth="1"/>
    <col min="24" max="24" width="2.7109375" style="12" customWidth="1"/>
    <col min="25" max="253" width="9.85546875" style="12" hidden="1" customWidth="1"/>
    <col min="254" max="254" width="8.85546875" style="12" hidden="1" customWidth="1"/>
    <col min="255" max="16384" width="0" style="12" hidden="1"/>
  </cols>
  <sheetData>
    <row r="1" spans="1:23" s="29" customFormat="1" ht="13.15" customHeight="1" x14ac:dyDescent="0.2">
      <c r="A1" s="27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9" customFormat="1" ht="13.15" customHeight="1" x14ac:dyDescent="0.2">
      <c r="A2" s="27"/>
      <c r="B2" s="120"/>
      <c r="C2" s="121"/>
      <c r="D2" s="121"/>
      <c r="E2" s="122">
        <f>Start_year</f>
        <v>2018</v>
      </c>
      <c r="F2" s="122">
        <f>E2+1</f>
        <v>2019</v>
      </c>
      <c r="G2" s="122">
        <f t="shared" ref="G2:V2" si="0">F2+1</f>
        <v>2020</v>
      </c>
      <c r="H2" s="122">
        <f t="shared" si="0"/>
        <v>2021</v>
      </c>
      <c r="I2" s="122">
        <f t="shared" si="0"/>
        <v>2022</v>
      </c>
      <c r="J2" s="122">
        <f t="shared" si="0"/>
        <v>2023</v>
      </c>
      <c r="K2" s="122">
        <f t="shared" si="0"/>
        <v>2024</v>
      </c>
      <c r="L2" s="122">
        <f t="shared" si="0"/>
        <v>2025</v>
      </c>
      <c r="M2" s="122">
        <f t="shared" si="0"/>
        <v>2026</v>
      </c>
      <c r="N2" s="122">
        <f t="shared" si="0"/>
        <v>2027</v>
      </c>
      <c r="O2" s="122">
        <f t="shared" si="0"/>
        <v>2028</v>
      </c>
      <c r="P2" s="122">
        <f t="shared" si="0"/>
        <v>2029</v>
      </c>
      <c r="Q2" s="122">
        <f t="shared" si="0"/>
        <v>2030</v>
      </c>
      <c r="R2" s="122">
        <f t="shared" si="0"/>
        <v>2031</v>
      </c>
      <c r="S2" s="122">
        <f t="shared" si="0"/>
        <v>2032</v>
      </c>
      <c r="T2" s="122">
        <f t="shared" si="0"/>
        <v>2033</v>
      </c>
      <c r="U2" s="122">
        <f t="shared" si="0"/>
        <v>2034</v>
      </c>
      <c r="V2" s="122">
        <f t="shared" si="0"/>
        <v>2035</v>
      </c>
      <c r="W2" s="123"/>
    </row>
    <row r="3" spans="1:23" s="29" customFormat="1" ht="13.15" customHeight="1" x14ac:dyDescent="0.2">
      <c r="A3" s="30"/>
      <c r="B3" s="31"/>
      <c r="C3" s="32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3.15" customHeight="1" x14ac:dyDescent="0.2">
      <c r="B4" s="124" t="s">
        <v>63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</row>
    <row r="5" spans="1:23" ht="13.15" customHeight="1" x14ac:dyDescent="0.2">
      <c r="B5" s="63"/>
      <c r="C5" s="88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3"/>
    </row>
    <row r="6" spans="1:23" ht="13.15" customHeight="1" x14ac:dyDescent="0.2">
      <c r="B6" s="57" t="s">
        <v>2</v>
      </c>
      <c r="C6" s="131">
        <v>0.1</v>
      </c>
      <c r="D6" s="4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58"/>
    </row>
    <row r="7" spans="1:23" ht="13.15" customHeight="1" x14ac:dyDescent="0.2">
      <c r="A7" s="6"/>
      <c r="B7" s="57" t="s">
        <v>20</v>
      </c>
      <c r="C7" s="132">
        <v>2018</v>
      </c>
      <c r="D7" s="41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59"/>
    </row>
    <row r="8" spans="1:23" ht="13.15" customHeight="1" x14ac:dyDescent="0.2">
      <c r="A8" s="6"/>
      <c r="B8" s="60"/>
      <c r="C8" s="4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61"/>
    </row>
    <row r="9" spans="1:23" ht="13.15" customHeight="1" x14ac:dyDescent="0.2">
      <c r="A9" s="6"/>
      <c r="B9" s="20"/>
      <c r="C9" s="7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3.15" customHeight="1" x14ac:dyDescent="0.2">
      <c r="B10" s="124" t="s">
        <v>50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6"/>
    </row>
    <row r="11" spans="1:23" ht="13.15" customHeight="1" x14ac:dyDescent="0.2">
      <c r="A11" s="6"/>
      <c r="B11" s="5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62"/>
    </row>
    <row r="12" spans="1:23" ht="13.15" customHeight="1" x14ac:dyDescent="0.2">
      <c r="A12" s="6"/>
      <c r="B12" s="63" t="s">
        <v>51</v>
      </c>
      <c r="C12" s="93">
        <f>Total_NPV</f>
        <v>617.8480392316244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62"/>
    </row>
    <row r="13" spans="1:23" ht="13.15" customHeight="1" x14ac:dyDescent="0.2">
      <c r="A13" s="6"/>
      <c r="B13" s="63" t="s">
        <v>52</v>
      </c>
      <c r="C13" s="93">
        <f>PV_Development</f>
        <v>-67.188753872996756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62"/>
    </row>
    <row r="14" spans="1:23" ht="13.15" customHeight="1" x14ac:dyDescent="0.2">
      <c r="A14" s="6"/>
      <c r="B14" s="64"/>
      <c r="C14" s="42"/>
      <c r="D14" s="43"/>
      <c r="E14" s="43"/>
      <c r="F14" s="43"/>
      <c r="G14" s="44"/>
      <c r="H14" s="43"/>
      <c r="I14" s="43"/>
      <c r="J14" s="43"/>
      <c r="K14" s="43"/>
      <c r="L14" s="43"/>
      <c r="M14" s="43"/>
      <c r="N14" s="42"/>
      <c r="O14" s="42"/>
      <c r="P14" s="42"/>
      <c r="Q14" s="42"/>
      <c r="R14" s="42"/>
      <c r="S14" s="42"/>
      <c r="T14" s="42"/>
      <c r="U14" s="42"/>
      <c r="V14" s="42"/>
      <c r="W14" s="65"/>
    </row>
    <row r="15" spans="1:23" ht="13.15" customHeight="1" x14ac:dyDescent="0.2">
      <c r="B15" s="22"/>
    </row>
    <row r="16" spans="1:23" ht="13.15" customHeight="1" x14ac:dyDescent="0.2">
      <c r="B16" s="124" t="s">
        <v>33</v>
      </c>
      <c r="C16" s="125"/>
      <c r="D16" s="125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8"/>
    </row>
    <row r="17" spans="1:23" ht="13.15" customHeight="1" x14ac:dyDescent="0.2">
      <c r="B17" s="66"/>
      <c r="C17" s="5"/>
      <c r="D17" s="16"/>
      <c r="E17" s="16" t="s">
        <v>47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67"/>
    </row>
    <row r="18" spans="1:23" ht="13.15" customHeight="1" x14ac:dyDescent="0.2">
      <c r="B18" s="57" t="s">
        <v>57</v>
      </c>
      <c r="C18" s="46">
        <v>1</v>
      </c>
      <c r="D18" s="95" t="str">
        <f>IF(C18,"Yes","No")</f>
        <v>Yes</v>
      </c>
      <c r="E18" s="16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67"/>
    </row>
    <row r="19" spans="1:23" ht="13.15" customHeight="1" x14ac:dyDescent="0.2">
      <c r="B19" s="66"/>
      <c r="C19" s="5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67"/>
    </row>
    <row r="20" spans="1:23" ht="13.15" customHeight="1" x14ac:dyDescent="0.2">
      <c r="A20" s="15"/>
      <c r="B20" s="68" t="s">
        <v>9</v>
      </c>
      <c r="C20" s="45">
        <v>1</v>
      </c>
      <c r="D20" s="95" t="str">
        <f>IF(C20,"Yes","No")</f>
        <v>Yes</v>
      </c>
      <c r="E20" s="16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62"/>
    </row>
    <row r="21" spans="1:23" ht="13.15" customHeight="1" x14ac:dyDescent="0.2">
      <c r="A21" s="15"/>
      <c r="B21" s="68" t="s">
        <v>10</v>
      </c>
      <c r="C21" s="45">
        <v>1</v>
      </c>
      <c r="D21" s="95" t="str">
        <f>IF(C21,"Yes","No")</f>
        <v>Yes</v>
      </c>
      <c r="E21" s="16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62"/>
    </row>
    <row r="22" spans="1:23" ht="13.15" customHeight="1" x14ac:dyDescent="0.2">
      <c r="A22" s="15"/>
      <c r="B22" s="68" t="s">
        <v>11</v>
      </c>
      <c r="C22" s="45">
        <v>1</v>
      </c>
      <c r="D22" s="95" t="str">
        <f>IF(C22,"Yes","No")</f>
        <v>Yes</v>
      </c>
      <c r="E22" s="16"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62"/>
    </row>
    <row r="23" spans="1:23" ht="13.15" customHeight="1" x14ac:dyDescent="0.2">
      <c r="A23" s="12"/>
      <c r="B23" s="68" t="s">
        <v>12</v>
      </c>
      <c r="C23" s="45">
        <v>1</v>
      </c>
      <c r="D23" s="95" t="str">
        <f>IF(C23,"Yes","No")</f>
        <v>Yes</v>
      </c>
      <c r="E23" s="16">
        <v>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67"/>
    </row>
    <row r="24" spans="1:23" ht="13.15" customHeight="1" x14ac:dyDescent="0.2">
      <c r="A24" s="12"/>
      <c r="B24" s="68"/>
      <c r="C24" s="99"/>
      <c r="D24" s="95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67"/>
    </row>
    <row r="25" spans="1:23" ht="13.15" customHeight="1" x14ac:dyDescent="0.2">
      <c r="A25" s="12"/>
      <c r="B25" s="68" t="s">
        <v>34</v>
      </c>
      <c r="C25" s="45">
        <v>2</v>
      </c>
      <c r="D25" s="95" t="str">
        <f>CHOOSE(C25,"Low","Nominal","High")</f>
        <v>Nominal</v>
      </c>
      <c r="E25" s="16">
        <v>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67"/>
    </row>
    <row r="26" spans="1:23" ht="13.15" customHeight="1" x14ac:dyDescent="0.2">
      <c r="A26" s="12"/>
      <c r="B26" s="68" t="s">
        <v>38</v>
      </c>
      <c r="C26" s="45">
        <v>2</v>
      </c>
      <c r="D26" s="95" t="str">
        <f>CHOOSE(C26,"Low","Nominal","High")</f>
        <v>Nominal</v>
      </c>
      <c r="E26" s="16">
        <v>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67"/>
    </row>
    <row r="27" spans="1:23" ht="13.15" customHeight="1" x14ac:dyDescent="0.2">
      <c r="A27" s="12"/>
      <c r="B27" s="68" t="s">
        <v>39</v>
      </c>
      <c r="C27" s="45">
        <v>2</v>
      </c>
      <c r="D27" s="95" t="str">
        <f>CHOOSE(C27,"Low","Nominal","High")</f>
        <v>Nominal</v>
      </c>
      <c r="E27" s="16">
        <v>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7"/>
    </row>
    <row r="28" spans="1:23" ht="13.15" customHeight="1" x14ac:dyDescent="0.2">
      <c r="B28" s="69"/>
      <c r="C28" s="43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</row>
    <row r="29" spans="1:23" s="6" customFormat="1" ht="13.15" customHeight="1" x14ac:dyDescent="0.2"/>
    <row r="30" spans="1:23" ht="13.15" customHeight="1" x14ac:dyDescent="0.2">
      <c r="B30" s="124" t="s">
        <v>49</v>
      </c>
      <c r="C30" s="125"/>
      <c r="D30" s="125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8"/>
    </row>
    <row r="31" spans="1:23" ht="13.15" customHeight="1" x14ac:dyDescent="0.2">
      <c r="B31" s="66"/>
      <c r="C31" s="5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67"/>
    </row>
    <row r="32" spans="1:23" ht="13.15" customHeight="1" x14ac:dyDescent="0.2">
      <c r="B32" s="68" t="s">
        <v>53</v>
      </c>
      <c r="C32" s="135" t="s">
        <v>66</v>
      </c>
      <c r="D32" s="136"/>
      <c r="E32" s="136"/>
      <c r="F32" s="13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67"/>
    </row>
    <row r="33" spans="1:23" ht="13.15" customHeight="1" x14ac:dyDescent="0.2">
      <c r="B33" s="109" t="s">
        <v>54</v>
      </c>
      <c r="C33" s="135" t="s">
        <v>65</v>
      </c>
      <c r="D33" s="137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67"/>
    </row>
    <row r="34" spans="1:23" ht="13.15" customHeight="1" x14ac:dyDescent="0.2">
      <c r="B34" s="109" t="s">
        <v>64</v>
      </c>
      <c r="C34" s="53">
        <v>1</v>
      </c>
      <c r="D34" s="134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67"/>
    </row>
    <row r="35" spans="1:23" ht="13.15" customHeight="1" x14ac:dyDescent="0.2">
      <c r="A35" s="6"/>
      <c r="B35" s="57" t="s">
        <v>28</v>
      </c>
      <c r="C35" s="53">
        <v>2023</v>
      </c>
      <c r="D35" s="41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59"/>
    </row>
    <row r="36" spans="1:23" ht="13.15" customHeight="1" x14ac:dyDescent="0.2">
      <c r="A36" s="6"/>
      <c r="B36" s="57" t="s">
        <v>19</v>
      </c>
      <c r="C36" s="53">
        <v>2033</v>
      </c>
      <c r="D36" s="41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59"/>
    </row>
    <row r="37" spans="1:23" ht="13.15" customHeight="1" x14ac:dyDescent="0.2">
      <c r="B37" s="66"/>
      <c r="C37" s="5"/>
      <c r="D37" s="16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67"/>
    </row>
    <row r="38" spans="1:23" ht="13.15" customHeight="1" x14ac:dyDescent="0.2">
      <c r="A38" s="15"/>
      <c r="B38" s="68" t="s">
        <v>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62"/>
    </row>
    <row r="39" spans="1:23" ht="13.15" customHeight="1" x14ac:dyDescent="0.2">
      <c r="A39" s="15"/>
      <c r="B39" s="34" t="s">
        <v>14</v>
      </c>
      <c r="C39" s="16"/>
      <c r="D39" s="16"/>
      <c r="E39" s="73">
        <v>6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5">
        <v>0</v>
      </c>
      <c r="W39" s="62"/>
    </row>
    <row r="40" spans="1:23" ht="13.15" customHeight="1" x14ac:dyDescent="0.2">
      <c r="A40" s="15"/>
      <c r="B40" s="34" t="s">
        <v>15</v>
      </c>
      <c r="C40" s="16"/>
      <c r="D40" s="16"/>
      <c r="E40" s="73">
        <v>0</v>
      </c>
      <c r="F40" s="74">
        <v>21</v>
      </c>
      <c r="G40" s="74">
        <v>29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5">
        <v>0</v>
      </c>
      <c r="W40" s="62"/>
    </row>
    <row r="41" spans="1:23" ht="13.15" customHeight="1" x14ac:dyDescent="0.2">
      <c r="A41" s="15"/>
      <c r="B41" s="34" t="s">
        <v>16</v>
      </c>
      <c r="C41" s="16"/>
      <c r="D41" s="16"/>
      <c r="E41" s="73">
        <v>0</v>
      </c>
      <c r="F41" s="74">
        <v>0</v>
      </c>
      <c r="G41" s="74">
        <v>0</v>
      </c>
      <c r="H41" s="74">
        <v>10</v>
      </c>
      <c r="I41" s="74">
        <v>11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5">
        <v>0</v>
      </c>
      <c r="W41" s="62"/>
    </row>
    <row r="42" spans="1:23" ht="13.15" customHeight="1" x14ac:dyDescent="0.2">
      <c r="A42" s="15"/>
      <c r="B42" s="34" t="s">
        <v>17</v>
      </c>
      <c r="C42" s="16"/>
      <c r="D42" s="16"/>
      <c r="E42" s="73">
        <v>0</v>
      </c>
      <c r="F42" s="74">
        <v>0</v>
      </c>
      <c r="G42" s="74">
        <v>0</v>
      </c>
      <c r="H42" s="74">
        <v>0</v>
      </c>
      <c r="I42" s="74">
        <v>0</v>
      </c>
      <c r="J42" s="74">
        <v>5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5">
        <v>0</v>
      </c>
      <c r="W42" s="62"/>
    </row>
    <row r="43" spans="1:23" ht="13.15" customHeight="1" x14ac:dyDescent="0.2">
      <c r="A43" s="15"/>
      <c r="B43" s="6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62"/>
    </row>
    <row r="44" spans="1:23" ht="13.15" customHeight="1" x14ac:dyDescent="0.2">
      <c r="A44" s="12"/>
      <c r="B44" s="68" t="s">
        <v>4</v>
      </c>
      <c r="C44" s="16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62"/>
    </row>
    <row r="45" spans="1:23" ht="13.15" customHeight="1" x14ac:dyDescent="0.2">
      <c r="A45" s="12"/>
      <c r="B45" s="34" t="s">
        <v>5</v>
      </c>
      <c r="C45" s="16"/>
      <c r="D45" s="16"/>
      <c r="E45" s="73">
        <v>0</v>
      </c>
      <c r="F45" s="74">
        <v>0</v>
      </c>
      <c r="G45" s="74">
        <v>0</v>
      </c>
      <c r="H45" s="74">
        <v>0</v>
      </c>
      <c r="I45" s="74">
        <v>10</v>
      </c>
      <c r="J45" s="74">
        <v>10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5">
        <v>0</v>
      </c>
      <c r="W45" s="62"/>
    </row>
    <row r="46" spans="1:23" ht="13.15" customHeight="1" x14ac:dyDescent="0.2">
      <c r="A46" s="12"/>
      <c r="B46" s="34" t="s">
        <v>6</v>
      </c>
      <c r="C46" s="52">
        <v>0.22</v>
      </c>
      <c r="D46" s="16"/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62"/>
    </row>
    <row r="47" spans="1:23" ht="13.15" customHeight="1" x14ac:dyDescent="0.2">
      <c r="A47" s="12"/>
      <c r="B47" s="34"/>
      <c r="C47" s="16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62"/>
    </row>
    <row r="48" spans="1:23" ht="13.15" customHeight="1" x14ac:dyDescent="0.2">
      <c r="A48" s="12"/>
      <c r="B48" s="68" t="s">
        <v>21</v>
      </c>
      <c r="C48" s="16"/>
      <c r="D48" s="16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62"/>
    </row>
    <row r="49" spans="1:23" ht="13.15" customHeight="1" x14ac:dyDescent="0.2">
      <c r="A49" s="12"/>
      <c r="B49" s="34" t="s">
        <v>18</v>
      </c>
      <c r="C49" s="52">
        <v>0.33</v>
      </c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62"/>
    </row>
    <row r="50" spans="1:23" ht="13.15" customHeight="1" x14ac:dyDescent="0.2">
      <c r="A50" s="12"/>
      <c r="B50" s="76"/>
      <c r="C50" s="16"/>
      <c r="D50" s="16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67"/>
    </row>
    <row r="51" spans="1:23" ht="13.15" customHeight="1" x14ac:dyDescent="0.2">
      <c r="A51" s="12"/>
      <c r="B51" s="68" t="s">
        <v>41</v>
      </c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67"/>
    </row>
    <row r="52" spans="1:23" ht="13.15" customHeight="1" x14ac:dyDescent="0.2">
      <c r="A52" s="12"/>
      <c r="B52" s="76" t="s">
        <v>25</v>
      </c>
      <c r="C52" s="98">
        <v>0</v>
      </c>
      <c r="D52" s="16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67"/>
    </row>
    <row r="53" spans="1:23" ht="13.15" customHeight="1" x14ac:dyDescent="0.2">
      <c r="A53" s="12"/>
      <c r="B53" s="76" t="s">
        <v>42</v>
      </c>
      <c r="C53" s="101">
        <v>0</v>
      </c>
      <c r="D53" s="16"/>
      <c r="E53" s="16"/>
      <c r="F53" s="16"/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67"/>
    </row>
    <row r="54" spans="1:23" ht="13.15" customHeight="1" x14ac:dyDescent="0.2">
      <c r="A54" s="12"/>
      <c r="B54" s="76" t="s">
        <v>43</v>
      </c>
      <c r="C54" s="102">
        <v>0</v>
      </c>
      <c r="D54" s="16"/>
      <c r="E54" s="16"/>
      <c r="F54" s="16"/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67"/>
    </row>
    <row r="55" spans="1:23" ht="13.15" customHeight="1" x14ac:dyDescent="0.2">
      <c r="A55" s="12"/>
      <c r="B55" s="76" t="s">
        <v>44</v>
      </c>
      <c r="C55" s="102">
        <v>0</v>
      </c>
      <c r="D55" s="16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67"/>
    </row>
    <row r="56" spans="1:23" ht="13.15" customHeight="1" x14ac:dyDescent="0.2">
      <c r="A56" s="12"/>
      <c r="B56" s="76" t="s">
        <v>45</v>
      </c>
      <c r="C56" s="103">
        <v>0</v>
      </c>
      <c r="D56" s="16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67"/>
    </row>
    <row r="57" spans="1:23" ht="13.15" customHeight="1" x14ac:dyDescent="0.2">
      <c r="A57" s="12"/>
      <c r="B57" s="76"/>
      <c r="C57" s="16"/>
      <c r="D57" s="16"/>
      <c r="E57" s="17"/>
      <c r="F57" s="17"/>
      <c r="G57" s="95"/>
      <c r="H57" s="95"/>
      <c r="I57" s="95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67"/>
    </row>
    <row r="58" spans="1:23" ht="13.15" customHeight="1" x14ac:dyDescent="0.2">
      <c r="A58" s="12"/>
      <c r="B58" s="68" t="s">
        <v>7</v>
      </c>
      <c r="C58" s="16"/>
      <c r="D58" s="16"/>
      <c r="E58" s="16" t="s">
        <v>35</v>
      </c>
      <c r="F58" s="16" t="s">
        <v>36</v>
      </c>
      <c r="G58" s="16" t="s">
        <v>37</v>
      </c>
      <c r="H58" s="95"/>
      <c r="I58" s="95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67"/>
    </row>
    <row r="59" spans="1:23" ht="13.15" customHeight="1" x14ac:dyDescent="0.2">
      <c r="A59" s="12"/>
      <c r="B59" s="76" t="s">
        <v>59</v>
      </c>
      <c r="C59" s="110">
        <f>CHOOSE(Market_size,E59,F59,G59)</f>
        <v>289</v>
      </c>
      <c r="D59" s="16"/>
      <c r="E59" s="73">
        <v>250</v>
      </c>
      <c r="F59" s="74">
        <v>289</v>
      </c>
      <c r="G59" s="75">
        <v>325</v>
      </c>
      <c r="H59" s="95"/>
      <c r="I59" s="95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67"/>
    </row>
    <row r="60" spans="1:23" ht="13.15" customHeight="1" x14ac:dyDescent="0.2">
      <c r="A60" s="12"/>
      <c r="B60" s="76" t="s">
        <v>34</v>
      </c>
      <c r="C60" s="133">
        <f>CHOOSE(Market_share,E60,F60,G60)</f>
        <v>0.1</v>
      </c>
      <c r="D60" s="16"/>
      <c r="E60" s="113">
        <v>7.0000000000000007E-2</v>
      </c>
      <c r="F60" s="114">
        <v>0.1</v>
      </c>
      <c r="G60" s="115">
        <v>0.15</v>
      </c>
      <c r="H60" s="95"/>
      <c r="I60" s="95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67"/>
    </row>
    <row r="61" spans="1:23" ht="13.15" customHeight="1" x14ac:dyDescent="0.2">
      <c r="A61" s="12"/>
      <c r="B61" s="76" t="s">
        <v>60</v>
      </c>
      <c r="C61" s="110">
        <f>C59*C60</f>
        <v>28.900000000000002</v>
      </c>
      <c r="D61" s="16"/>
      <c r="E61" s="112"/>
      <c r="F61" s="112"/>
      <c r="G61" s="112"/>
      <c r="H61" s="95"/>
      <c r="I61" s="95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67"/>
    </row>
    <row r="62" spans="1:23" ht="13.15" customHeight="1" x14ac:dyDescent="0.2">
      <c r="A62" s="12"/>
      <c r="B62" s="76" t="s">
        <v>58</v>
      </c>
      <c r="C62" s="111">
        <v>14</v>
      </c>
      <c r="D62" s="16"/>
      <c r="E62" s="17"/>
      <c r="F62" s="17"/>
      <c r="G62" s="95"/>
      <c r="H62" s="95"/>
      <c r="I62" s="95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67"/>
    </row>
    <row r="63" spans="1:23" ht="13.15" customHeight="1" x14ac:dyDescent="0.2">
      <c r="B63" s="76" t="s">
        <v>40</v>
      </c>
      <c r="C63" s="133">
        <f>CHOOSE(Pricing,E63,F63,G63)</f>
        <v>1</v>
      </c>
      <c r="D63" s="97"/>
      <c r="E63" s="116">
        <v>0.75</v>
      </c>
      <c r="F63" s="117">
        <v>1</v>
      </c>
      <c r="G63" s="118">
        <v>1.33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67"/>
    </row>
    <row r="64" spans="1:23" ht="13.15" customHeight="1" x14ac:dyDescent="0.2">
      <c r="A64" s="12"/>
      <c r="B64" s="76" t="s">
        <v>61</v>
      </c>
      <c r="C64" s="93">
        <f>C61*C62*C63</f>
        <v>404.6</v>
      </c>
      <c r="D64" s="16"/>
      <c r="E64" s="96"/>
      <c r="F64" s="17"/>
      <c r="G64" s="16"/>
      <c r="H64" s="16"/>
      <c r="I64" s="1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67"/>
    </row>
    <row r="65" spans="1:23" ht="13.15" customHeight="1" x14ac:dyDescent="0.2">
      <c r="A65" s="12"/>
      <c r="B65" s="76" t="s">
        <v>27</v>
      </c>
      <c r="C65" s="53">
        <v>3</v>
      </c>
      <c r="D65" s="16"/>
      <c r="E65" s="16"/>
      <c r="F65" s="16"/>
      <c r="G65" s="16"/>
      <c r="H65" s="16"/>
      <c r="I65" s="1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67"/>
    </row>
    <row r="66" spans="1:23" ht="13.15" customHeight="1" x14ac:dyDescent="0.2">
      <c r="A66" s="12"/>
      <c r="B66" s="76"/>
      <c r="C66" s="16"/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67"/>
    </row>
    <row r="67" spans="1:23" ht="13.15" customHeight="1" x14ac:dyDescent="0.2">
      <c r="B67" s="69"/>
      <c r="C67" s="43"/>
      <c r="D67" s="70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2"/>
    </row>
    <row r="68" spans="1:23" s="6" customFormat="1" ht="13.15" customHeight="1" x14ac:dyDescent="0.2"/>
    <row r="69" spans="1:23" ht="13.15" customHeight="1" x14ac:dyDescent="0.2"/>
    <row r="70" spans="1:23" ht="13.15" customHeight="1" x14ac:dyDescent="0.2"/>
    <row r="71" spans="1:23" ht="13.15" customHeight="1" x14ac:dyDescent="0.2"/>
    <row r="72" spans="1:23" ht="13.15" customHeight="1" x14ac:dyDescent="0.2"/>
    <row r="73" spans="1:23" ht="13.15" customHeight="1" x14ac:dyDescent="0.2"/>
  </sheetData>
  <mergeCells count="2">
    <mergeCell ref="C32:F32"/>
    <mergeCell ref="C33:D3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2" fitToHeight="3" orientation="landscape" r:id="rId1"/>
  <headerFooter alignWithMargins="0">
    <oddHeader>&amp;R&amp;"Arial,Fett"&amp;14- Entwurf -</oddHeader>
    <oddFooter>&amp;L&amp;D, &amp;T&amp;CSeite &amp;P /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T26"/>
  <sheetViews>
    <sheetView showGridLines="0" workbookViewId="0"/>
  </sheetViews>
  <sheetFormatPr defaultColWidth="0" defaultRowHeight="13.15" customHeight="1" x14ac:dyDescent="0.2"/>
  <cols>
    <col min="1" max="1" width="2.7109375" style="13" customWidth="1"/>
    <col min="2" max="2" width="40.7109375" style="13" customWidth="1"/>
    <col min="3" max="3" width="15.7109375" style="14" customWidth="1"/>
    <col min="4" max="4" width="14.7109375" style="14" customWidth="1"/>
    <col min="5" max="5" width="2.7109375" style="14" customWidth="1"/>
    <col min="6" max="6" width="2.7109375" style="12" customWidth="1"/>
    <col min="7" max="235" width="9.85546875" style="12" hidden="1" customWidth="1"/>
    <col min="236" max="236" width="8.85546875" style="12" hidden="1" customWidth="1"/>
    <col min="237" max="253" width="9.85546875" style="12" hidden="1" customWidth="1"/>
    <col min="254" max="254" width="8.85546875" style="12" hidden="1" customWidth="1"/>
    <col min="255" max="16384" width="0" style="12" hidden="1"/>
  </cols>
  <sheetData>
    <row r="1" spans="1:5" s="29" customFormat="1" ht="13.15" customHeight="1" x14ac:dyDescent="0.2">
      <c r="A1" s="27"/>
      <c r="B1" s="27"/>
      <c r="C1" s="28"/>
      <c r="D1" s="28"/>
      <c r="E1" s="28"/>
    </row>
    <row r="2" spans="1:5" s="29" customFormat="1" ht="13.15" customHeight="1" x14ac:dyDescent="0.2">
      <c r="A2" s="27"/>
      <c r="B2" s="120"/>
      <c r="C2" s="121"/>
      <c r="D2" s="121"/>
      <c r="E2" s="123"/>
    </row>
    <row r="3" spans="1:5" s="29" customFormat="1" ht="13.15" customHeight="1" x14ac:dyDescent="0.2">
      <c r="A3" s="30"/>
      <c r="B3" s="31"/>
      <c r="C3" s="32"/>
      <c r="D3" s="32"/>
      <c r="E3" s="33"/>
    </row>
    <row r="4" spans="1:5" ht="13.15" customHeight="1" x14ac:dyDescent="0.2">
      <c r="B4" s="124" t="s">
        <v>48</v>
      </c>
      <c r="C4" s="125"/>
      <c r="D4" s="125"/>
      <c r="E4" s="128"/>
    </row>
    <row r="5" spans="1:5" ht="13.15" customHeight="1" x14ac:dyDescent="0.2">
      <c r="B5" s="66"/>
      <c r="C5" s="5"/>
      <c r="D5" s="16"/>
      <c r="E5" s="67"/>
    </row>
    <row r="6" spans="1:5" ht="13.15" customHeight="1" x14ac:dyDescent="0.2">
      <c r="B6" s="68" t="s">
        <v>55</v>
      </c>
      <c r="C6" s="5"/>
      <c r="D6" s="16"/>
      <c r="E6" s="67"/>
    </row>
    <row r="7" spans="1:5" ht="13.15" customHeight="1" x14ac:dyDescent="0.2">
      <c r="A7" s="15"/>
      <c r="B7" s="76" t="s">
        <v>9</v>
      </c>
      <c r="C7" s="105">
        <v>0.7</v>
      </c>
      <c r="D7" s="16"/>
      <c r="E7" s="62"/>
    </row>
    <row r="8" spans="1:5" ht="13.15" customHeight="1" x14ac:dyDescent="0.2">
      <c r="A8" s="15"/>
      <c r="B8" s="76" t="s">
        <v>10</v>
      </c>
      <c r="C8" s="105">
        <v>0.4</v>
      </c>
      <c r="D8" s="16"/>
      <c r="E8" s="62"/>
    </row>
    <row r="9" spans="1:5" ht="13.15" customHeight="1" x14ac:dyDescent="0.2">
      <c r="A9" s="15"/>
      <c r="B9" s="76" t="s">
        <v>11</v>
      </c>
      <c r="C9" s="105">
        <v>0.8</v>
      </c>
      <c r="D9" s="16"/>
      <c r="E9" s="62"/>
    </row>
    <row r="10" spans="1:5" ht="13.15" customHeight="1" x14ac:dyDescent="0.2">
      <c r="A10" s="15"/>
      <c r="B10" s="76" t="s">
        <v>12</v>
      </c>
      <c r="C10" s="105">
        <v>0.9</v>
      </c>
      <c r="D10" s="16"/>
      <c r="E10" s="62"/>
    </row>
    <row r="11" spans="1:5" ht="13.15" customHeight="1" x14ac:dyDescent="0.2">
      <c r="A11" s="15"/>
      <c r="B11" s="68"/>
      <c r="C11" s="95"/>
      <c r="D11" s="16"/>
      <c r="E11" s="62"/>
    </row>
    <row r="12" spans="1:5" ht="13.15" customHeight="1" x14ac:dyDescent="0.2">
      <c r="A12" s="15"/>
      <c r="B12" s="68" t="s">
        <v>56</v>
      </c>
      <c r="C12" s="95"/>
      <c r="D12" s="16"/>
      <c r="E12" s="62"/>
    </row>
    <row r="13" spans="1:5" ht="13.15" customHeight="1" x14ac:dyDescent="0.2">
      <c r="A13" s="15"/>
      <c r="B13" s="76" t="s">
        <v>39</v>
      </c>
      <c r="C13" s="95"/>
      <c r="D13" s="16"/>
      <c r="E13" s="62"/>
    </row>
    <row r="14" spans="1:5" ht="13.15" customHeight="1" x14ac:dyDescent="0.2">
      <c r="A14" s="15"/>
      <c r="B14" s="119" t="s">
        <v>35</v>
      </c>
      <c r="C14" s="106">
        <v>0.3</v>
      </c>
      <c r="D14" s="16"/>
      <c r="E14" s="62"/>
    </row>
    <row r="15" spans="1:5" ht="13.15" customHeight="1" x14ac:dyDescent="0.2">
      <c r="A15" s="15"/>
      <c r="B15" s="119" t="s">
        <v>36</v>
      </c>
      <c r="C15" s="107">
        <v>0.4</v>
      </c>
      <c r="D15" s="16"/>
      <c r="E15" s="62"/>
    </row>
    <row r="16" spans="1:5" ht="13.15" customHeight="1" x14ac:dyDescent="0.2">
      <c r="A16" s="15"/>
      <c r="B16" s="119" t="s">
        <v>37</v>
      </c>
      <c r="C16" s="108">
        <v>0.3</v>
      </c>
      <c r="D16" s="16"/>
      <c r="E16" s="62"/>
    </row>
    <row r="17" spans="1:5" ht="13.15" customHeight="1" x14ac:dyDescent="0.2">
      <c r="A17" s="15"/>
      <c r="B17" s="76" t="s">
        <v>38</v>
      </c>
      <c r="C17" s="95"/>
      <c r="D17" s="16"/>
      <c r="E17" s="62"/>
    </row>
    <row r="18" spans="1:5" ht="13.15" customHeight="1" x14ac:dyDescent="0.2">
      <c r="A18" s="15"/>
      <c r="B18" s="119" t="s">
        <v>35</v>
      </c>
      <c r="C18" s="106">
        <v>0.35</v>
      </c>
      <c r="D18" s="16"/>
      <c r="E18" s="62"/>
    </row>
    <row r="19" spans="1:5" ht="13.15" customHeight="1" x14ac:dyDescent="0.2">
      <c r="A19" s="15"/>
      <c r="B19" s="119" t="s">
        <v>36</v>
      </c>
      <c r="C19" s="107">
        <v>0.5</v>
      </c>
      <c r="D19" s="16"/>
      <c r="E19" s="62"/>
    </row>
    <row r="20" spans="1:5" ht="13.15" customHeight="1" x14ac:dyDescent="0.2">
      <c r="A20" s="15"/>
      <c r="B20" s="119" t="s">
        <v>37</v>
      </c>
      <c r="C20" s="108">
        <v>0.15</v>
      </c>
      <c r="D20" s="16"/>
      <c r="E20" s="62"/>
    </row>
    <row r="21" spans="1:5" ht="13.15" customHeight="1" x14ac:dyDescent="0.2">
      <c r="A21" s="15"/>
      <c r="B21" s="76" t="s">
        <v>34</v>
      </c>
      <c r="C21" s="95"/>
      <c r="D21" s="16"/>
      <c r="E21" s="62"/>
    </row>
    <row r="22" spans="1:5" ht="13.15" customHeight="1" x14ac:dyDescent="0.2">
      <c r="A22" s="15"/>
      <c r="B22" s="119" t="s">
        <v>35</v>
      </c>
      <c r="C22" s="106">
        <v>0.3</v>
      </c>
      <c r="D22" s="16"/>
      <c r="E22" s="62"/>
    </row>
    <row r="23" spans="1:5" ht="13.15" customHeight="1" x14ac:dyDescent="0.2">
      <c r="A23" s="15"/>
      <c r="B23" s="119" t="s">
        <v>36</v>
      </c>
      <c r="C23" s="107">
        <v>0.4</v>
      </c>
      <c r="D23" s="16"/>
      <c r="E23" s="62"/>
    </row>
    <row r="24" spans="1:5" ht="13.15" customHeight="1" x14ac:dyDescent="0.2">
      <c r="A24" s="15"/>
      <c r="B24" s="119" t="s">
        <v>37</v>
      </c>
      <c r="C24" s="108">
        <v>0.3</v>
      </c>
      <c r="D24" s="16"/>
      <c r="E24" s="62"/>
    </row>
    <row r="25" spans="1:5" ht="13.15" customHeight="1" x14ac:dyDescent="0.2">
      <c r="A25" s="15"/>
      <c r="B25" s="104"/>
      <c r="C25" s="43"/>
      <c r="D25" s="43"/>
      <c r="E25" s="61"/>
    </row>
    <row r="26" spans="1:5" s="6" customFormat="1" ht="13.15" customHeight="1" x14ac:dyDescent="0.2"/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3">
    <pageSetUpPr fitToPage="1"/>
  </sheetPr>
  <dimension ref="A1:W144"/>
  <sheetViews>
    <sheetView showGridLines="0" zoomScaleNormal="66" zoomScaleSheetLayoutView="75" workbookViewId="0"/>
  </sheetViews>
  <sheetFormatPr defaultColWidth="0" defaultRowHeight="12.75" x14ac:dyDescent="0.2"/>
  <cols>
    <col min="1" max="1" width="2.7109375" style="12" customWidth="1"/>
    <col min="2" max="2" width="40.7109375" style="12" customWidth="1"/>
    <col min="3" max="3" width="15.7109375" style="12" customWidth="1"/>
    <col min="4" max="4" width="14.7109375" style="12" customWidth="1"/>
    <col min="5" max="22" width="7.7109375" style="12" customWidth="1"/>
    <col min="23" max="24" width="2.7109375" style="12" customWidth="1"/>
    <col min="25" max="16384" width="0" style="12" hidden="1"/>
  </cols>
  <sheetData>
    <row r="1" spans="1:23" ht="13.15" customHeight="1" x14ac:dyDescent="0.2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3" s="29" customFormat="1" ht="13.15" customHeight="1" x14ac:dyDescent="0.2">
      <c r="A2" s="27"/>
      <c r="B2" s="120"/>
      <c r="C2" s="121"/>
      <c r="D2" s="122" t="s">
        <v>30</v>
      </c>
      <c r="E2" s="122">
        <f>Start_year</f>
        <v>2018</v>
      </c>
      <c r="F2" s="122">
        <f>E2+1</f>
        <v>2019</v>
      </c>
      <c r="G2" s="122">
        <f t="shared" ref="G2:V2" si="0">F2+1</f>
        <v>2020</v>
      </c>
      <c r="H2" s="122">
        <f t="shared" si="0"/>
        <v>2021</v>
      </c>
      <c r="I2" s="122">
        <f t="shared" si="0"/>
        <v>2022</v>
      </c>
      <c r="J2" s="122">
        <f t="shared" si="0"/>
        <v>2023</v>
      </c>
      <c r="K2" s="122">
        <f t="shared" si="0"/>
        <v>2024</v>
      </c>
      <c r="L2" s="122">
        <f t="shared" si="0"/>
        <v>2025</v>
      </c>
      <c r="M2" s="122">
        <f t="shared" si="0"/>
        <v>2026</v>
      </c>
      <c r="N2" s="122">
        <f t="shared" si="0"/>
        <v>2027</v>
      </c>
      <c r="O2" s="122">
        <f t="shared" si="0"/>
        <v>2028</v>
      </c>
      <c r="P2" s="122">
        <f t="shared" si="0"/>
        <v>2029</v>
      </c>
      <c r="Q2" s="122">
        <f t="shared" si="0"/>
        <v>2030</v>
      </c>
      <c r="R2" s="122">
        <f t="shared" si="0"/>
        <v>2031</v>
      </c>
      <c r="S2" s="122">
        <f t="shared" si="0"/>
        <v>2032</v>
      </c>
      <c r="T2" s="122">
        <f t="shared" si="0"/>
        <v>2033</v>
      </c>
      <c r="U2" s="122">
        <f t="shared" si="0"/>
        <v>2034</v>
      </c>
      <c r="V2" s="122">
        <f t="shared" si="0"/>
        <v>2035</v>
      </c>
      <c r="W2" s="123"/>
    </row>
    <row r="3" spans="1:23" ht="13.15" customHeight="1" x14ac:dyDescent="0.2">
      <c r="A3" s="6"/>
      <c r="B3" s="6"/>
      <c r="C3" s="7"/>
      <c r="D3" s="7"/>
      <c r="E3" s="7"/>
      <c r="F3" s="8"/>
      <c r="G3" s="8"/>
      <c r="H3" s="9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3.15" customHeight="1" x14ac:dyDescent="0.2">
      <c r="B4" s="124" t="s">
        <v>62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30"/>
    </row>
    <row r="5" spans="1:23" ht="13.15" customHeight="1" x14ac:dyDescent="0.2">
      <c r="B5" s="1"/>
      <c r="C5" s="47"/>
      <c r="D5" s="47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9"/>
    </row>
    <row r="6" spans="1:23" ht="13.15" customHeight="1" x14ac:dyDescent="0.2">
      <c r="B6" s="1" t="s">
        <v>3</v>
      </c>
      <c r="C6" s="49"/>
      <c r="D6" s="4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</row>
    <row r="7" spans="1:23" ht="13.15" customHeight="1" x14ac:dyDescent="0.2">
      <c r="B7" s="34" t="s">
        <v>14</v>
      </c>
      <c r="C7" s="50"/>
      <c r="D7" s="92">
        <f t="array" ref="D7">SUM(E7:V7*discount_factor)</f>
        <v>-6</v>
      </c>
      <c r="E7" s="80">
        <f t="shared" ref="E7:V7" si="1">-dev_cost_phase1</f>
        <v>-6</v>
      </c>
      <c r="F7" s="80">
        <f t="shared" si="1"/>
        <v>0</v>
      </c>
      <c r="G7" s="80">
        <f t="shared" si="1"/>
        <v>0</v>
      </c>
      <c r="H7" s="80">
        <f t="shared" si="1"/>
        <v>0</v>
      </c>
      <c r="I7" s="80">
        <f t="shared" si="1"/>
        <v>0</v>
      </c>
      <c r="J7" s="80">
        <f t="shared" si="1"/>
        <v>0</v>
      </c>
      <c r="K7" s="80">
        <f t="shared" si="1"/>
        <v>0</v>
      </c>
      <c r="L7" s="80">
        <f t="shared" si="1"/>
        <v>0</v>
      </c>
      <c r="M7" s="80">
        <f t="shared" si="1"/>
        <v>0</v>
      </c>
      <c r="N7" s="80">
        <f t="shared" si="1"/>
        <v>0</v>
      </c>
      <c r="O7" s="80">
        <f t="shared" si="1"/>
        <v>0</v>
      </c>
      <c r="P7" s="80">
        <f t="shared" si="1"/>
        <v>0</v>
      </c>
      <c r="Q7" s="80">
        <f t="shared" si="1"/>
        <v>0</v>
      </c>
      <c r="R7" s="80">
        <f t="shared" si="1"/>
        <v>0</v>
      </c>
      <c r="S7" s="80">
        <f t="shared" si="1"/>
        <v>0</v>
      </c>
      <c r="T7" s="80">
        <f t="shared" si="1"/>
        <v>0</v>
      </c>
      <c r="U7" s="80">
        <f t="shared" si="1"/>
        <v>0</v>
      </c>
      <c r="V7" s="80">
        <f t="shared" si="1"/>
        <v>0</v>
      </c>
      <c r="W7" s="81"/>
    </row>
    <row r="8" spans="1:23" ht="13.15" customHeight="1" x14ac:dyDescent="0.2">
      <c r="B8" s="34" t="s">
        <v>15</v>
      </c>
      <c r="C8" s="50"/>
      <c r="D8" s="92">
        <f t="array" ref="D8">SUM(E8:V8*discount_factor)</f>
        <v>-43.057851239669418</v>
      </c>
      <c r="E8" s="80">
        <f>-dev_cost_phase2*Phase_1_success</f>
        <v>0</v>
      </c>
      <c r="F8" s="80">
        <f t="shared" ref="F8:V8" si="2">-dev_cost_phase2*Phase_1_success</f>
        <v>-21</v>
      </c>
      <c r="G8" s="80">
        <f t="shared" si="2"/>
        <v>-29</v>
      </c>
      <c r="H8" s="80">
        <f t="shared" si="2"/>
        <v>0</v>
      </c>
      <c r="I8" s="80">
        <f t="shared" si="2"/>
        <v>0</v>
      </c>
      <c r="J8" s="80">
        <f t="shared" si="2"/>
        <v>0</v>
      </c>
      <c r="K8" s="80">
        <f t="shared" si="2"/>
        <v>0</v>
      </c>
      <c r="L8" s="80">
        <f t="shared" si="2"/>
        <v>0</v>
      </c>
      <c r="M8" s="80">
        <f t="shared" si="2"/>
        <v>0</v>
      </c>
      <c r="N8" s="80">
        <f t="shared" si="2"/>
        <v>0</v>
      </c>
      <c r="O8" s="80">
        <f t="shared" si="2"/>
        <v>0</v>
      </c>
      <c r="P8" s="80">
        <f t="shared" si="2"/>
        <v>0</v>
      </c>
      <c r="Q8" s="80">
        <f t="shared" si="2"/>
        <v>0</v>
      </c>
      <c r="R8" s="80">
        <f t="shared" si="2"/>
        <v>0</v>
      </c>
      <c r="S8" s="80">
        <f t="shared" si="2"/>
        <v>0</v>
      </c>
      <c r="T8" s="80">
        <f t="shared" si="2"/>
        <v>0</v>
      </c>
      <c r="U8" s="80">
        <f t="shared" si="2"/>
        <v>0</v>
      </c>
      <c r="V8" s="80">
        <f t="shared" si="2"/>
        <v>0</v>
      </c>
      <c r="W8" s="81"/>
    </row>
    <row r="9" spans="1:23" ht="13.15" customHeight="1" x14ac:dyDescent="0.2">
      <c r="B9" s="34" t="s">
        <v>16</v>
      </c>
      <c r="C9" s="50"/>
      <c r="D9" s="92">
        <f t="array" ref="D9">SUM(E9:V9*discount_factor)</f>
        <v>-15.026296018031552</v>
      </c>
      <c r="E9" s="80">
        <f t="shared" ref="E9:V9" si="3">-dev_cost_phase3*Phase_2_success*Phase_1_success</f>
        <v>0</v>
      </c>
      <c r="F9" s="80">
        <f t="shared" si="3"/>
        <v>0</v>
      </c>
      <c r="G9" s="80">
        <f t="shared" si="3"/>
        <v>0</v>
      </c>
      <c r="H9" s="80">
        <f t="shared" si="3"/>
        <v>-10</v>
      </c>
      <c r="I9" s="80">
        <f t="shared" si="3"/>
        <v>-11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0</v>
      </c>
      <c r="N9" s="80">
        <f t="shared" si="3"/>
        <v>0</v>
      </c>
      <c r="O9" s="80">
        <f t="shared" si="3"/>
        <v>0</v>
      </c>
      <c r="P9" s="80">
        <f t="shared" si="3"/>
        <v>0</v>
      </c>
      <c r="Q9" s="80">
        <f t="shared" si="3"/>
        <v>0</v>
      </c>
      <c r="R9" s="80">
        <f t="shared" si="3"/>
        <v>0</v>
      </c>
      <c r="S9" s="80">
        <f t="shared" si="3"/>
        <v>0</v>
      </c>
      <c r="T9" s="80">
        <f t="shared" si="3"/>
        <v>0</v>
      </c>
      <c r="U9" s="80">
        <f t="shared" si="3"/>
        <v>0</v>
      </c>
      <c r="V9" s="80">
        <f t="shared" si="3"/>
        <v>0</v>
      </c>
      <c r="W9" s="81"/>
    </row>
    <row r="10" spans="1:23" ht="13.15" customHeight="1" x14ac:dyDescent="0.2">
      <c r="B10" s="34" t="s">
        <v>17</v>
      </c>
      <c r="C10" s="50"/>
      <c r="D10" s="92">
        <f t="array" ref="D10">SUM(E10:V10*discount_factor)</f>
        <v>-3.1046066152957748</v>
      </c>
      <c r="E10" s="80">
        <f t="shared" ref="E10:V10" si="4">-dev_cost_reg*Phase_3_success*Phase_2_success*Phase_1_success</f>
        <v>0</v>
      </c>
      <c r="F10" s="80">
        <f t="shared" si="4"/>
        <v>0</v>
      </c>
      <c r="G10" s="80">
        <f t="shared" si="4"/>
        <v>0</v>
      </c>
      <c r="H10" s="80">
        <f t="shared" si="4"/>
        <v>0</v>
      </c>
      <c r="I10" s="80">
        <f t="shared" si="4"/>
        <v>0</v>
      </c>
      <c r="J10" s="80">
        <f t="shared" si="4"/>
        <v>-5</v>
      </c>
      <c r="K10" s="80">
        <f t="shared" si="4"/>
        <v>0</v>
      </c>
      <c r="L10" s="80">
        <f t="shared" si="4"/>
        <v>0</v>
      </c>
      <c r="M10" s="80">
        <f t="shared" si="4"/>
        <v>0</v>
      </c>
      <c r="N10" s="80">
        <f t="shared" si="4"/>
        <v>0</v>
      </c>
      <c r="O10" s="80">
        <f t="shared" si="4"/>
        <v>0</v>
      </c>
      <c r="P10" s="80">
        <f t="shared" si="4"/>
        <v>0</v>
      </c>
      <c r="Q10" s="80">
        <f t="shared" si="4"/>
        <v>0</v>
      </c>
      <c r="R10" s="80">
        <f t="shared" si="4"/>
        <v>0</v>
      </c>
      <c r="S10" s="80">
        <f t="shared" si="4"/>
        <v>0</v>
      </c>
      <c r="T10" s="80">
        <f t="shared" si="4"/>
        <v>0</v>
      </c>
      <c r="U10" s="80">
        <f t="shared" si="4"/>
        <v>0</v>
      </c>
      <c r="V10" s="80">
        <f t="shared" si="4"/>
        <v>0</v>
      </c>
      <c r="W10" s="81"/>
    </row>
    <row r="11" spans="1:23" ht="13.15" customHeight="1" x14ac:dyDescent="0.2">
      <c r="B11" s="1" t="s">
        <v>0</v>
      </c>
      <c r="C11" s="50"/>
      <c r="D11" s="80">
        <f>SUM(D7:D10)</f>
        <v>-67.188753872996756</v>
      </c>
      <c r="E11" s="80">
        <f>SUM(E7:E10)</f>
        <v>-6</v>
      </c>
      <c r="F11" s="80">
        <f t="shared" ref="F11:V11" si="5">SUM(F7:F10)</f>
        <v>-21</v>
      </c>
      <c r="G11" s="80">
        <f t="shared" si="5"/>
        <v>-29</v>
      </c>
      <c r="H11" s="80">
        <f t="shared" si="5"/>
        <v>-10</v>
      </c>
      <c r="I11" s="80">
        <f t="shared" si="5"/>
        <v>-11</v>
      </c>
      <c r="J11" s="80">
        <f t="shared" si="5"/>
        <v>-5</v>
      </c>
      <c r="K11" s="80">
        <f t="shared" si="5"/>
        <v>0</v>
      </c>
      <c r="L11" s="80">
        <f t="shared" si="5"/>
        <v>0</v>
      </c>
      <c r="M11" s="80">
        <f t="shared" si="5"/>
        <v>0</v>
      </c>
      <c r="N11" s="80">
        <f t="shared" si="5"/>
        <v>0</v>
      </c>
      <c r="O11" s="80">
        <f t="shared" si="5"/>
        <v>0</v>
      </c>
      <c r="P11" s="80">
        <f t="shared" si="5"/>
        <v>0</v>
      </c>
      <c r="Q11" s="80">
        <f t="shared" si="5"/>
        <v>0</v>
      </c>
      <c r="R11" s="80">
        <f t="shared" si="5"/>
        <v>0</v>
      </c>
      <c r="S11" s="80">
        <f t="shared" si="5"/>
        <v>0</v>
      </c>
      <c r="T11" s="80">
        <f t="shared" si="5"/>
        <v>0</v>
      </c>
      <c r="U11" s="80">
        <f t="shared" si="5"/>
        <v>0</v>
      </c>
      <c r="V11" s="80">
        <f t="shared" si="5"/>
        <v>0</v>
      </c>
      <c r="W11" s="81"/>
    </row>
    <row r="12" spans="1:23" ht="13.15" customHeight="1" x14ac:dyDescent="0.2">
      <c r="B12" s="1"/>
      <c r="C12" s="50"/>
      <c r="D12" s="92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1"/>
    </row>
    <row r="13" spans="1:23" ht="13.15" customHeight="1" x14ac:dyDescent="0.2">
      <c r="B13" s="1" t="s">
        <v>4</v>
      </c>
      <c r="C13" s="50"/>
      <c r="D13" s="92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1"/>
    </row>
    <row r="14" spans="1:23" ht="13.15" customHeight="1" x14ac:dyDescent="0.2">
      <c r="B14" s="34" t="s">
        <v>5</v>
      </c>
      <c r="C14" s="50"/>
      <c r="D14" s="92">
        <f t="array" ref="D14">SUM(E14:V14*discount_factor)</f>
        <v>-13.039347784242254</v>
      </c>
      <c r="E14" s="80">
        <f t="shared" ref="E14:V14" si="6">-launch_cost*FDA_approval*Phase_3_success*Phase_2_success*Phase_1_success</f>
        <v>0</v>
      </c>
      <c r="F14" s="80">
        <f t="shared" si="6"/>
        <v>0</v>
      </c>
      <c r="G14" s="80">
        <f t="shared" si="6"/>
        <v>0</v>
      </c>
      <c r="H14" s="80">
        <f t="shared" si="6"/>
        <v>0</v>
      </c>
      <c r="I14" s="80">
        <f t="shared" si="6"/>
        <v>-10</v>
      </c>
      <c r="J14" s="80">
        <f t="shared" si="6"/>
        <v>-10</v>
      </c>
      <c r="K14" s="80">
        <f t="shared" si="6"/>
        <v>0</v>
      </c>
      <c r="L14" s="80">
        <f t="shared" si="6"/>
        <v>0</v>
      </c>
      <c r="M14" s="80">
        <f t="shared" si="6"/>
        <v>0</v>
      </c>
      <c r="N14" s="80">
        <f t="shared" si="6"/>
        <v>0</v>
      </c>
      <c r="O14" s="80">
        <f t="shared" si="6"/>
        <v>0</v>
      </c>
      <c r="P14" s="80">
        <f t="shared" si="6"/>
        <v>0</v>
      </c>
      <c r="Q14" s="80">
        <f t="shared" si="6"/>
        <v>0</v>
      </c>
      <c r="R14" s="80">
        <f t="shared" si="6"/>
        <v>0</v>
      </c>
      <c r="S14" s="80">
        <f t="shared" si="6"/>
        <v>0</v>
      </c>
      <c r="T14" s="80">
        <f t="shared" si="6"/>
        <v>0</v>
      </c>
      <c r="U14" s="80">
        <f t="shared" si="6"/>
        <v>0</v>
      </c>
      <c r="V14" s="80">
        <f t="shared" si="6"/>
        <v>0</v>
      </c>
      <c r="W14" s="81"/>
    </row>
    <row r="15" spans="1:23" ht="13.15" customHeight="1" x14ac:dyDescent="0.2">
      <c r="B15" s="34" t="s">
        <v>6</v>
      </c>
      <c r="C15" s="50"/>
      <c r="D15" s="92"/>
      <c r="E15" s="80">
        <f t="shared" ref="E15:V15" si="7">-marketing_cost_rate*E28*FDA_approval*Phase_3_success*Phase_2_success*Phase_1_success</f>
        <v>0</v>
      </c>
      <c r="F15" s="80">
        <f t="shared" si="7"/>
        <v>0</v>
      </c>
      <c r="G15" s="80">
        <f t="shared" si="7"/>
        <v>0</v>
      </c>
      <c r="H15" s="80">
        <f t="shared" si="7"/>
        <v>0</v>
      </c>
      <c r="I15" s="80">
        <f t="shared" si="7"/>
        <v>0</v>
      </c>
      <c r="J15" s="80">
        <f t="shared" si="7"/>
        <v>-29.670666666666669</v>
      </c>
      <c r="K15" s="80">
        <f t="shared" si="7"/>
        <v>-59.341333333333338</v>
      </c>
      <c r="L15" s="80">
        <f t="shared" si="7"/>
        <v>-89.012000000000015</v>
      </c>
      <c r="M15" s="80">
        <f t="shared" si="7"/>
        <v>-89.012</v>
      </c>
      <c r="N15" s="80">
        <f t="shared" si="7"/>
        <v>-89.012</v>
      </c>
      <c r="O15" s="80">
        <f t="shared" si="7"/>
        <v>-89.012</v>
      </c>
      <c r="P15" s="80">
        <f t="shared" si="7"/>
        <v>-89.012</v>
      </c>
      <c r="Q15" s="80">
        <f t="shared" si="7"/>
        <v>-89.012</v>
      </c>
      <c r="R15" s="80">
        <f t="shared" si="7"/>
        <v>-89.012</v>
      </c>
      <c r="S15" s="80">
        <f t="shared" si="7"/>
        <v>-89.012</v>
      </c>
      <c r="T15" s="80">
        <f t="shared" si="7"/>
        <v>-89.012</v>
      </c>
      <c r="U15" s="80">
        <f t="shared" si="7"/>
        <v>0</v>
      </c>
      <c r="V15" s="80">
        <f t="shared" si="7"/>
        <v>0</v>
      </c>
      <c r="W15" s="81"/>
    </row>
    <row r="16" spans="1:23" ht="13.15" customHeight="1" x14ac:dyDescent="0.2">
      <c r="B16" s="1" t="s">
        <v>0</v>
      </c>
      <c r="C16" s="50"/>
      <c r="D16" s="92"/>
      <c r="E16" s="80">
        <f>SUM(E14:E15)</f>
        <v>0</v>
      </c>
      <c r="F16" s="80">
        <f t="shared" ref="F16:V16" si="8">SUM(F14:F15)</f>
        <v>0</v>
      </c>
      <c r="G16" s="80">
        <f t="shared" si="8"/>
        <v>0</v>
      </c>
      <c r="H16" s="80">
        <f t="shared" si="8"/>
        <v>0</v>
      </c>
      <c r="I16" s="80">
        <f t="shared" si="8"/>
        <v>-10</v>
      </c>
      <c r="J16" s="80">
        <f t="shared" si="8"/>
        <v>-39.670666666666669</v>
      </c>
      <c r="K16" s="80">
        <f t="shared" si="8"/>
        <v>-59.341333333333338</v>
      </c>
      <c r="L16" s="80">
        <f t="shared" si="8"/>
        <v>-89.012000000000015</v>
      </c>
      <c r="M16" s="80">
        <f t="shared" si="8"/>
        <v>-89.012</v>
      </c>
      <c r="N16" s="80">
        <f t="shared" si="8"/>
        <v>-89.012</v>
      </c>
      <c r="O16" s="80">
        <f t="shared" si="8"/>
        <v>-89.012</v>
      </c>
      <c r="P16" s="80">
        <f t="shared" si="8"/>
        <v>-89.012</v>
      </c>
      <c r="Q16" s="80">
        <f t="shared" si="8"/>
        <v>-89.012</v>
      </c>
      <c r="R16" s="80">
        <f t="shared" si="8"/>
        <v>-89.012</v>
      </c>
      <c r="S16" s="80">
        <f t="shared" si="8"/>
        <v>-89.012</v>
      </c>
      <c r="T16" s="80">
        <f t="shared" si="8"/>
        <v>-89.012</v>
      </c>
      <c r="U16" s="80">
        <f t="shared" si="8"/>
        <v>0</v>
      </c>
      <c r="V16" s="80">
        <f t="shared" si="8"/>
        <v>0</v>
      </c>
      <c r="W16" s="81"/>
    </row>
    <row r="17" spans="2:23" ht="13.15" customHeight="1" x14ac:dyDescent="0.2">
      <c r="B17" s="35"/>
      <c r="C17" s="50"/>
      <c r="D17" s="92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1"/>
    </row>
    <row r="18" spans="2:23" ht="13.15" customHeight="1" x14ac:dyDescent="0.2">
      <c r="B18" s="1" t="s">
        <v>21</v>
      </c>
      <c r="C18" s="50"/>
      <c r="D18" s="92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1"/>
    </row>
    <row r="19" spans="2:23" ht="13.15" customHeight="1" x14ac:dyDescent="0.2">
      <c r="B19" s="34" t="s">
        <v>22</v>
      </c>
      <c r="C19" s="50"/>
      <c r="D19" s="92"/>
      <c r="E19" s="80">
        <f>-COGS*E28</f>
        <v>0</v>
      </c>
      <c r="F19" s="80">
        <f t="shared" ref="F19:V19" si="9">-COGS*F28</f>
        <v>0</v>
      </c>
      <c r="G19" s="80">
        <f t="shared" si="9"/>
        <v>0</v>
      </c>
      <c r="H19" s="80">
        <f t="shared" si="9"/>
        <v>0</v>
      </c>
      <c r="I19" s="80">
        <f t="shared" si="9"/>
        <v>0</v>
      </c>
      <c r="J19" s="80">
        <f t="shared" si="9"/>
        <v>-44.506000000000007</v>
      </c>
      <c r="K19" s="80">
        <f t="shared" si="9"/>
        <v>-89.012000000000015</v>
      </c>
      <c r="L19" s="80">
        <f t="shared" si="9"/>
        <v>-133.51800000000003</v>
      </c>
      <c r="M19" s="80">
        <f t="shared" si="9"/>
        <v>-133.518</v>
      </c>
      <c r="N19" s="80">
        <f t="shared" si="9"/>
        <v>-133.518</v>
      </c>
      <c r="O19" s="80">
        <f t="shared" si="9"/>
        <v>-133.518</v>
      </c>
      <c r="P19" s="80">
        <f t="shared" si="9"/>
        <v>-133.518</v>
      </c>
      <c r="Q19" s="80">
        <f t="shared" si="9"/>
        <v>-133.518</v>
      </c>
      <c r="R19" s="80">
        <f t="shared" si="9"/>
        <v>-133.518</v>
      </c>
      <c r="S19" s="80">
        <f t="shared" si="9"/>
        <v>-133.518</v>
      </c>
      <c r="T19" s="80">
        <f t="shared" si="9"/>
        <v>-133.518</v>
      </c>
      <c r="U19" s="80">
        <f t="shared" si="9"/>
        <v>0</v>
      </c>
      <c r="V19" s="80">
        <f t="shared" si="9"/>
        <v>0</v>
      </c>
      <c r="W19" s="81"/>
    </row>
    <row r="20" spans="2:23" ht="13.15" customHeight="1" x14ac:dyDescent="0.2">
      <c r="B20" s="34" t="s">
        <v>24</v>
      </c>
      <c r="C20" s="50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80"/>
      <c r="O20" s="80"/>
      <c r="P20" s="80"/>
      <c r="Q20" s="80"/>
      <c r="R20" s="80"/>
      <c r="S20" s="80"/>
      <c r="T20" s="80"/>
      <c r="U20" s="80"/>
      <c r="V20" s="80"/>
      <c r="W20" s="81"/>
    </row>
    <row r="21" spans="2:23" ht="13.15" customHeight="1" x14ac:dyDescent="0.2">
      <c r="B21" s="100" t="s">
        <v>14</v>
      </c>
      <c r="C21" s="50"/>
      <c r="D21" s="92">
        <f t="array" ref="D21">SUM(E21:V21*discount_factor)</f>
        <v>0</v>
      </c>
      <c r="E21" s="80"/>
      <c r="F21" s="80">
        <f>-Phase_1_payment*Phase_1_success</f>
        <v>0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1"/>
    </row>
    <row r="22" spans="2:23" ht="13.15" customHeight="1" x14ac:dyDescent="0.2">
      <c r="B22" s="100" t="s">
        <v>15</v>
      </c>
      <c r="C22" s="50"/>
      <c r="D22" s="92">
        <f t="array" ref="D22">SUM(E22:V22*discount_factor)</f>
        <v>0</v>
      </c>
      <c r="E22" s="80"/>
      <c r="F22" s="80"/>
      <c r="G22" s="80"/>
      <c r="H22" s="80">
        <f>-Phase_2_payment*Phase_2_success*Phase_1_success</f>
        <v>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1"/>
    </row>
    <row r="23" spans="2:23" ht="13.15" customHeight="1" x14ac:dyDescent="0.2">
      <c r="B23" s="100" t="s">
        <v>16</v>
      </c>
      <c r="C23" s="50"/>
      <c r="D23" s="92">
        <f t="array" ref="D23">SUM(E23:V23*discount_factor)</f>
        <v>0</v>
      </c>
      <c r="E23" s="80"/>
      <c r="F23" s="80"/>
      <c r="G23" s="80"/>
      <c r="H23" s="80"/>
      <c r="I23" s="80"/>
      <c r="J23" s="80"/>
      <c r="K23" s="80">
        <f>-Phase_3_payment*Phase_3_success*Phase_2_success*Phase_1_success</f>
        <v>0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1"/>
    </row>
    <row r="24" spans="2:23" ht="13.15" customHeight="1" x14ac:dyDescent="0.2">
      <c r="B24" s="100" t="s">
        <v>17</v>
      </c>
      <c r="C24" s="50"/>
      <c r="D24" s="92">
        <f t="array" ref="D24">SUM(E24:V24*discount_factor)</f>
        <v>0</v>
      </c>
      <c r="E24" s="80"/>
      <c r="F24" s="80"/>
      <c r="G24" s="80"/>
      <c r="H24" s="80"/>
      <c r="I24" s="80"/>
      <c r="J24" s="80"/>
      <c r="K24" s="80"/>
      <c r="L24" s="80">
        <f>-Registration_payment*FDA_approval*Phase_3_success*Phase_2_success*Phase_1_success</f>
        <v>0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1"/>
    </row>
    <row r="25" spans="2:23" ht="13.15" customHeight="1" x14ac:dyDescent="0.2">
      <c r="B25" s="34" t="s">
        <v>23</v>
      </c>
      <c r="C25" s="50"/>
      <c r="D25" s="92">
        <f t="array" ref="D25">SUM(E25:V25*discount_factor)</f>
        <v>0</v>
      </c>
      <c r="E25" s="80">
        <f>-royalty_rate*E28</f>
        <v>0</v>
      </c>
      <c r="F25" s="80">
        <f t="shared" ref="F25:V25" si="10">-royalty_rate*F28</f>
        <v>0</v>
      </c>
      <c r="G25" s="80">
        <f t="shared" si="10"/>
        <v>0</v>
      </c>
      <c r="H25" s="80">
        <f t="shared" si="10"/>
        <v>0</v>
      </c>
      <c r="I25" s="80">
        <f t="shared" si="10"/>
        <v>0</v>
      </c>
      <c r="J25" s="80">
        <f t="shared" si="10"/>
        <v>0</v>
      </c>
      <c r="K25" s="80">
        <f t="shared" si="10"/>
        <v>0</v>
      </c>
      <c r="L25" s="80">
        <f t="shared" si="10"/>
        <v>0</v>
      </c>
      <c r="M25" s="80">
        <f t="shared" si="10"/>
        <v>0</v>
      </c>
      <c r="N25" s="80">
        <f t="shared" si="10"/>
        <v>0</v>
      </c>
      <c r="O25" s="80">
        <f t="shared" si="10"/>
        <v>0</v>
      </c>
      <c r="P25" s="80">
        <f t="shared" si="10"/>
        <v>0</v>
      </c>
      <c r="Q25" s="80">
        <f t="shared" si="10"/>
        <v>0</v>
      </c>
      <c r="R25" s="80">
        <f t="shared" si="10"/>
        <v>0</v>
      </c>
      <c r="S25" s="80">
        <f t="shared" si="10"/>
        <v>0</v>
      </c>
      <c r="T25" s="80">
        <f t="shared" si="10"/>
        <v>0</v>
      </c>
      <c r="U25" s="80">
        <f t="shared" si="10"/>
        <v>0</v>
      </c>
      <c r="V25" s="80">
        <f t="shared" si="10"/>
        <v>0</v>
      </c>
      <c r="W25" s="81"/>
    </row>
    <row r="26" spans="2:23" ht="13.15" customHeight="1" x14ac:dyDescent="0.2">
      <c r="B26" s="1" t="s">
        <v>0</v>
      </c>
      <c r="C26" s="50"/>
      <c r="D26" s="92"/>
      <c r="E26" s="80">
        <f t="shared" ref="E26:V26" si="11">SUM(E19:E25)*FDA_approval*Phase_3_success*Phase_2_success*Phase_1_success</f>
        <v>0</v>
      </c>
      <c r="F26" s="80">
        <f t="shared" si="11"/>
        <v>0</v>
      </c>
      <c r="G26" s="80">
        <f t="shared" si="11"/>
        <v>0</v>
      </c>
      <c r="H26" s="80">
        <f t="shared" si="11"/>
        <v>0</v>
      </c>
      <c r="I26" s="80">
        <f t="shared" si="11"/>
        <v>0</v>
      </c>
      <c r="J26" s="80">
        <f t="shared" si="11"/>
        <v>-44.506000000000007</v>
      </c>
      <c r="K26" s="80">
        <f t="shared" si="11"/>
        <v>-89.012000000000015</v>
      </c>
      <c r="L26" s="80">
        <f t="shared" si="11"/>
        <v>-133.51800000000003</v>
      </c>
      <c r="M26" s="80">
        <f t="shared" si="11"/>
        <v>-133.518</v>
      </c>
      <c r="N26" s="80">
        <f t="shared" si="11"/>
        <v>-133.518</v>
      </c>
      <c r="O26" s="80">
        <f t="shared" si="11"/>
        <v>-133.518</v>
      </c>
      <c r="P26" s="80">
        <f t="shared" si="11"/>
        <v>-133.518</v>
      </c>
      <c r="Q26" s="80">
        <f t="shared" si="11"/>
        <v>-133.518</v>
      </c>
      <c r="R26" s="80">
        <f t="shared" si="11"/>
        <v>-133.518</v>
      </c>
      <c r="S26" s="80">
        <f t="shared" si="11"/>
        <v>-133.518</v>
      </c>
      <c r="T26" s="80">
        <f t="shared" si="11"/>
        <v>-133.518</v>
      </c>
      <c r="U26" s="80">
        <f t="shared" si="11"/>
        <v>0</v>
      </c>
      <c r="V26" s="80">
        <f t="shared" si="11"/>
        <v>0</v>
      </c>
      <c r="W26" s="81"/>
    </row>
    <row r="27" spans="2:23" ht="13.15" customHeight="1" x14ac:dyDescent="0.2">
      <c r="B27" s="1"/>
      <c r="C27" s="50"/>
      <c r="D27" s="92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</row>
    <row r="28" spans="2:23" ht="13.15" customHeight="1" x14ac:dyDescent="0.2">
      <c r="B28" s="1" t="s">
        <v>7</v>
      </c>
      <c r="C28" s="50"/>
      <c r="D28" s="92"/>
      <c r="E28" s="80">
        <f t="shared" ref="E28:V28" si="12">(E2&gt;=launch_year)*(E2&lt;=patent_expiry)*IF(E2&gt;=launch_year+Years_to_peak,Peak_sales,Peak_sales*(E2-launch_year+1)/Years_to_peak)*FDA_approval*Phase_1_success*Phase_2_success*Phase_3_success</f>
        <v>0</v>
      </c>
      <c r="F28" s="80">
        <f t="shared" si="12"/>
        <v>0</v>
      </c>
      <c r="G28" s="80">
        <f t="shared" si="12"/>
        <v>0</v>
      </c>
      <c r="H28" s="80">
        <f t="shared" si="12"/>
        <v>0</v>
      </c>
      <c r="I28" s="80">
        <f t="shared" si="12"/>
        <v>0</v>
      </c>
      <c r="J28" s="80">
        <f t="shared" si="12"/>
        <v>134.86666666666667</v>
      </c>
      <c r="K28" s="80">
        <f t="shared" si="12"/>
        <v>269.73333333333335</v>
      </c>
      <c r="L28" s="80">
        <f t="shared" si="12"/>
        <v>404.60000000000008</v>
      </c>
      <c r="M28" s="80">
        <f t="shared" si="12"/>
        <v>404.6</v>
      </c>
      <c r="N28" s="80">
        <f t="shared" si="12"/>
        <v>404.6</v>
      </c>
      <c r="O28" s="80">
        <f t="shared" si="12"/>
        <v>404.6</v>
      </c>
      <c r="P28" s="80">
        <f t="shared" si="12"/>
        <v>404.6</v>
      </c>
      <c r="Q28" s="80">
        <f t="shared" si="12"/>
        <v>404.6</v>
      </c>
      <c r="R28" s="80">
        <f t="shared" si="12"/>
        <v>404.6</v>
      </c>
      <c r="S28" s="80">
        <f t="shared" si="12"/>
        <v>404.6</v>
      </c>
      <c r="T28" s="80">
        <f t="shared" si="12"/>
        <v>404.6</v>
      </c>
      <c r="U28" s="80">
        <f t="shared" si="12"/>
        <v>0</v>
      </c>
      <c r="V28" s="80">
        <f t="shared" si="12"/>
        <v>0</v>
      </c>
      <c r="W28" s="81"/>
    </row>
    <row r="29" spans="2:23" ht="13.15" customHeight="1" x14ac:dyDescent="0.2">
      <c r="B29" s="35"/>
      <c r="C29" s="50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1"/>
    </row>
    <row r="30" spans="2:23" ht="13.15" customHeight="1" x14ac:dyDescent="0.2">
      <c r="B30" s="1" t="s">
        <v>8</v>
      </c>
      <c r="C30" s="50"/>
      <c r="D30" s="92"/>
      <c r="E30" s="80">
        <f>E11+E16+E26+E28</f>
        <v>-6</v>
      </c>
      <c r="F30" s="80">
        <f t="shared" ref="F30:V30" si="13">F11+F16+F26+F28</f>
        <v>-21</v>
      </c>
      <c r="G30" s="80">
        <f t="shared" si="13"/>
        <v>-29</v>
      </c>
      <c r="H30" s="80">
        <f t="shared" si="13"/>
        <v>-10</v>
      </c>
      <c r="I30" s="80">
        <f t="shared" si="13"/>
        <v>-21</v>
      </c>
      <c r="J30" s="80">
        <f t="shared" si="13"/>
        <v>45.69</v>
      </c>
      <c r="K30" s="80">
        <f t="shared" si="13"/>
        <v>121.38</v>
      </c>
      <c r="L30" s="80">
        <f t="shared" si="13"/>
        <v>182.07000000000005</v>
      </c>
      <c r="M30" s="80">
        <f t="shared" si="13"/>
        <v>182.07000000000002</v>
      </c>
      <c r="N30" s="80">
        <f t="shared" si="13"/>
        <v>182.07000000000002</v>
      </c>
      <c r="O30" s="80">
        <f t="shared" si="13"/>
        <v>182.07000000000002</v>
      </c>
      <c r="P30" s="80">
        <f t="shared" si="13"/>
        <v>182.07000000000002</v>
      </c>
      <c r="Q30" s="80">
        <f t="shared" si="13"/>
        <v>182.07000000000002</v>
      </c>
      <c r="R30" s="80">
        <f t="shared" si="13"/>
        <v>182.07000000000002</v>
      </c>
      <c r="S30" s="80">
        <f t="shared" si="13"/>
        <v>182.07000000000002</v>
      </c>
      <c r="T30" s="80">
        <f t="shared" si="13"/>
        <v>182.07000000000002</v>
      </c>
      <c r="U30" s="80">
        <f t="shared" si="13"/>
        <v>0</v>
      </c>
      <c r="V30" s="80">
        <f t="shared" si="13"/>
        <v>0</v>
      </c>
      <c r="W30" s="81"/>
    </row>
    <row r="31" spans="2:23" ht="13.15" customHeight="1" x14ac:dyDescent="0.2">
      <c r="B31" s="34" t="s">
        <v>32</v>
      </c>
      <c r="C31" s="50"/>
      <c r="D31" s="92">
        <f t="array" ref="D31">SUM(E31:V31*discount_factor)</f>
        <v>-80.228101657239009</v>
      </c>
      <c r="E31" s="80">
        <f>E11+E14</f>
        <v>-6</v>
      </c>
      <c r="F31" s="80">
        <f t="shared" ref="F31:V31" si="14">F11+F14</f>
        <v>-21</v>
      </c>
      <c r="G31" s="80">
        <f t="shared" si="14"/>
        <v>-29</v>
      </c>
      <c r="H31" s="80">
        <f t="shared" si="14"/>
        <v>-10</v>
      </c>
      <c r="I31" s="80">
        <f t="shared" si="14"/>
        <v>-21</v>
      </c>
      <c r="J31" s="80">
        <f t="shared" si="14"/>
        <v>-15</v>
      </c>
      <c r="K31" s="80">
        <f t="shared" si="14"/>
        <v>0</v>
      </c>
      <c r="L31" s="80">
        <f t="shared" si="14"/>
        <v>0</v>
      </c>
      <c r="M31" s="80">
        <f t="shared" si="14"/>
        <v>0</v>
      </c>
      <c r="N31" s="80">
        <f t="shared" si="14"/>
        <v>0</v>
      </c>
      <c r="O31" s="80">
        <f t="shared" si="14"/>
        <v>0</v>
      </c>
      <c r="P31" s="80">
        <f t="shared" si="14"/>
        <v>0</v>
      </c>
      <c r="Q31" s="80">
        <f t="shared" si="14"/>
        <v>0</v>
      </c>
      <c r="R31" s="80">
        <f t="shared" si="14"/>
        <v>0</v>
      </c>
      <c r="S31" s="80">
        <f t="shared" si="14"/>
        <v>0</v>
      </c>
      <c r="T31" s="80">
        <f t="shared" si="14"/>
        <v>0</v>
      </c>
      <c r="U31" s="80">
        <f t="shared" si="14"/>
        <v>0</v>
      </c>
      <c r="V31" s="80">
        <f t="shared" si="14"/>
        <v>0</v>
      </c>
      <c r="W31" s="81"/>
    </row>
    <row r="32" spans="2:23" ht="13.15" customHeight="1" x14ac:dyDescent="0.2">
      <c r="B32" s="34" t="s">
        <v>31</v>
      </c>
      <c r="C32" s="50"/>
      <c r="D32" s="92">
        <f t="array" ref="D32">SUM(E32:V32*discount_factor)</f>
        <v>698.07614088886351</v>
      </c>
      <c r="E32" s="80">
        <f>E15+E26+E28</f>
        <v>0</v>
      </c>
      <c r="F32" s="80">
        <f t="shared" ref="F32:V32" si="15">F15+F26+F28</f>
        <v>0</v>
      </c>
      <c r="G32" s="80">
        <f t="shared" si="15"/>
        <v>0</v>
      </c>
      <c r="H32" s="80">
        <f t="shared" si="15"/>
        <v>0</v>
      </c>
      <c r="I32" s="80">
        <f t="shared" si="15"/>
        <v>0</v>
      </c>
      <c r="J32" s="80">
        <f t="shared" si="15"/>
        <v>60.69</v>
      </c>
      <c r="K32" s="80">
        <f t="shared" si="15"/>
        <v>121.38</v>
      </c>
      <c r="L32" s="80">
        <f t="shared" si="15"/>
        <v>182.07000000000005</v>
      </c>
      <c r="M32" s="80">
        <f t="shared" si="15"/>
        <v>182.07000000000002</v>
      </c>
      <c r="N32" s="80">
        <f t="shared" si="15"/>
        <v>182.07000000000002</v>
      </c>
      <c r="O32" s="80">
        <f t="shared" si="15"/>
        <v>182.07000000000002</v>
      </c>
      <c r="P32" s="80">
        <f t="shared" si="15"/>
        <v>182.07000000000002</v>
      </c>
      <c r="Q32" s="80">
        <f t="shared" si="15"/>
        <v>182.07000000000002</v>
      </c>
      <c r="R32" s="80">
        <f t="shared" si="15"/>
        <v>182.07000000000002</v>
      </c>
      <c r="S32" s="80">
        <f t="shared" si="15"/>
        <v>182.07000000000002</v>
      </c>
      <c r="T32" s="80">
        <f t="shared" si="15"/>
        <v>182.07000000000002</v>
      </c>
      <c r="U32" s="80">
        <f t="shared" si="15"/>
        <v>0</v>
      </c>
      <c r="V32" s="80">
        <f t="shared" si="15"/>
        <v>0</v>
      </c>
      <c r="W32" s="81"/>
    </row>
    <row r="33" spans="1:23" ht="13.15" customHeight="1" x14ac:dyDescent="0.2">
      <c r="B33" s="34"/>
      <c r="C33" s="50"/>
      <c r="D33" s="92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1"/>
    </row>
    <row r="34" spans="1:23" ht="13.15" customHeight="1" x14ac:dyDescent="0.2">
      <c r="B34" s="1" t="s">
        <v>46</v>
      </c>
      <c r="C34" s="50"/>
      <c r="D34" s="92">
        <f t="array" ref="D34">SUM(E34:V34*discount_factor)</f>
        <v>0</v>
      </c>
      <c r="E34" s="80">
        <f>-SUM(E21:E25)</f>
        <v>0</v>
      </c>
      <c r="F34" s="80">
        <f t="shared" ref="F34:V34" si="16">-SUM(F21:F25)</f>
        <v>0</v>
      </c>
      <c r="G34" s="80">
        <f t="shared" si="16"/>
        <v>0</v>
      </c>
      <c r="H34" s="80">
        <f t="shared" si="16"/>
        <v>0</v>
      </c>
      <c r="I34" s="80">
        <f t="shared" si="16"/>
        <v>0</v>
      </c>
      <c r="J34" s="80">
        <f t="shared" si="16"/>
        <v>0</v>
      </c>
      <c r="K34" s="80">
        <f t="shared" si="16"/>
        <v>0</v>
      </c>
      <c r="L34" s="80">
        <f t="shared" si="16"/>
        <v>0</v>
      </c>
      <c r="M34" s="80">
        <f t="shared" si="16"/>
        <v>0</v>
      </c>
      <c r="N34" s="80">
        <f t="shared" si="16"/>
        <v>0</v>
      </c>
      <c r="O34" s="80">
        <f t="shared" si="16"/>
        <v>0</v>
      </c>
      <c r="P34" s="80">
        <f t="shared" si="16"/>
        <v>0</v>
      </c>
      <c r="Q34" s="80">
        <f t="shared" si="16"/>
        <v>0</v>
      </c>
      <c r="R34" s="80">
        <f t="shared" si="16"/>
        <v>0</v>
      </c>
      <c r="S34" s="80">
        <f t="shared" si="16"/>
        <v>0</v>
      </c>
      <c r="T34" s="80">
        <f t="shared" si="16"/>
        <v>0</v>
      </c>
      <c r="U34" s="80">
        <f t="shared" si="16"/>
        <v>0</v>
      </c>
      <c r="V34" s="80">
        <f t="shared" si="16"/>
        <v>0</v>
      </c>
      <c r="W34" s="81"/>
    </row>
    <row r="35" spans="1:23" ht="13.15" customHeight="1" x14ac:dyDescent="0.2">
      <c r="B35" s="24"/>
      <c r="C35" s="51"/>
      <c r="D35" s="51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</row>
    <row r="36" spans="1:23" ht="13.15" customHeight="1" x14ac:dyDescent="0.2">
      <c r="A36" s="6"/>
      <c r="B36" s="6"/>
      <c r="C36" s="7"/>
      <c r="D36" s="7"/>
      <c r="E36" s="7"/>
      <c r="F36" s="8"/>
      <c r="G36" s="8"/>
      <c r="H36" s="8"/>
      <c r="I36" s="8"/>
      <c r="J36" s="8"/>
      <c r="K36" s="8"/>
      <c r="L36" s="8"/>
      <c r="M36" s="8"/>
    </row>
    <row r="37" spans="1:23" ht="13.15" customHeight="1" x14ac:dyDescent="0.2">
      <c r="B37" s="124" t="s">
        <v>13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30"/>
    </row>
    <row r="38" spans="1:23" ht="13.15" customHeight="1" x14ac:dyDescent="0.2">
      <c r="B38" s="1"/>
      <c r="C38" s="2"/>
      <c r="D38" s="2"/>
      <c r="E38" s="2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84"/>
    </row>
    <row r="39" spans="1:23" ht="13.15" customHeight="1" x14ac:dyDescent="0.2">
      <c r="A39" s="13"/>
      <c r="B39" s="37" t="s">
        <v>1</v>
      </c>
      <c r="C39" s="38"/>
      <c r="D39" s="38"/>
      <c r="E39" s="89">
        <v>1</v>
      </c>
      <c r="F39" s="90">
        <f>E39/(1+Discount_rate)</f>
        <v>0.90909090909090906</v>
      </c>
      <c r="G39" s="90">
        <f t="shared" ref="G39:V39" si="17">F39/(1+Discount_rate)</f>
        <v>0.82644628099173545</v>
      </c>
      <c r="H39" s="90">
        <f t="shared" si="17"/>
        <v>0.75131480090157765</v>
      </c>
      <c r="I39" s="90">
        <f t="shared" si="17"/>
        <v>0.68301345536507052</v>
      </c>
      <c r="J39" s="90">
        <f t="shared" si="17"/>
        <v>0.62092132305915493</v>
      </c>
      <c r="K39" s="90">
        <f t="shared" si="17"/>
        <v>0.56447393005377711</v>
      </c>
      <c r="L39" s="90">
        <f t="shared" si="17"/>
        <v>0.51315811823070645</v>
      </c>
      <c r="M39" s="90">
        <f t="shared" si="17"/>
        <v>0.46650738020973309</v>
      </c>
      <c r="N39" s="90">
        <f t="shared" si="17"/>
        <v>0.42409761837248461</v>
      </c>
      <c r="O39" s="90">
        <f t="shared" si="17"/>
        <v>0.38554328942953142</v>
      </c>
      <c r="P39" s="90">
        <f t="shared" si="17"/>
        <v>0.35049389948139215</v>
      </c>
      <c r="Q39" s="90">
        <f t="shared" si="17"/>
        <v>0.31863081771035645</v>
      </c>
      <c r="R39" s="90">
        <f t="shared" si="17"/>
        <v>0.28966437973668768</v>
      </c>
      <c r="S39" s="90">
        <f t="shared" si="17"/>
        <v>0.26333125430607968</v>
      </c>
      <c r="T39" s="90">
        <f t="shared" si="17"/>
        <v>0.23939204936916333</v>
      </c>
      <c r="U39" s="90">
        <f t="shared" si="17"/>
        <v>0.21762913579014848</v>
      </c>
      <c r="V39" s="90">
        <f t="shared" si="17"/>
        <v>0.19784466890013497</v>
      </c>
      <c r="W39" s="86"/>
    </row>
    <row r="40" spans="1:23" ht="13.15" customHeight="1" x14ac:dyDescent="0.2">
      <c r="A40" s="13"/>
      <c r="B40" s="34" t="s">
        <v>29</v>
      </c>
      <c r="C40" s="39"/>
      <c r="D40" s="39"/>
      <c r="E40" s="91">
        <f t="shared" ref="E40:V40" si="18">E39*E30*Develop</f>
        <v>-6</v>
      </c>
      <c r="F40" s="91">
        <f t="shared" si="18"/>
        <v>-19.09090909090909</v>
      </c>
      <c r="G40" s="91">
        <f t="shared" si="18"/>
        <v>-23.966942148760328</v>
      </c>
      <c r="H40" s="91">
        <f t="shared" si="18"/>
        <v>-7.5131480090157767</v>
      </c>
      <c r="I40" s="91">
        <f t="shared" si="18"/>
        <v>-14.343282562666481</v>
      </c>
      <c r="J40" s="91">
        <f t="shared" si="18"/>
        <v>28.369895250572789</v>
      </c>
      <c r="K40" s="91">
        <f t="shared" si="18"/>
        <v>68.515845629927469</v>
      </c>
      <c r="L40" s="91">
        <f t="shared" si="18"/>
        <v>93.430698586264754</v>
      </c>
      <c r="M40" s="91">
        <f t="shared" si="18"/>
        <v>84.936998714786114</v>
      </c>
      <c r="N40" s="91">
        <f t="shared" si="18"/>
        <v>77.215453377078276</v>
      </c>
      <c r="O40" s="91">
        <f t="shared" si="18"/>
        <v>70.195866706434799</v>
      </c>
      <c r="P40" s="91">
        <f t="shared" si="18"/>
        <v>63.814424278577079</v>
      </c>
      <c r="Q40" s="91">
        <f t="shared" si="18"/>
        <v>58.013112980524603</v>
      </c>
      <c r="R40" s="91">
        <f t="shared" si="18"/>
        <v>52.739193618658732</v>
      </c>
      <c r="S40" s="91">
        <f t="shared" si="18"/>
        <v>47.944721471507933</v>
      </c>
      <c r="T40" s="91">
        <f t="shared" si="18"/>
        <v>43.586110428643572</v>
      </c>
      <c r="U40" s="91">
        <f t="shared" si="18"/>
        <v>0</v>
      </c>
      <c r="V40" s="91">
        <f t="shared" si="18"/>
        <v>0</v>
      </c>
      <c r="W40" s="54"/>
    </row>
    <row r="41" spans="1:23" ht="13.15" customHeight="1" x14ac:dyDescent="0.2">
      <c r="A41" s="13"/>
      <c r="B41" s="1" t="s">
        <v>26</v>
      </c>
      <c r="C41" s="80">
        <f>SUM(E40:V40)</f>
        <v>617.8480392316244</v>
      </c>
      <c r="D41" s="39"/>
      <c r="E41" s="39"/>
      <c r="F41" s="39"/>
      <c r="G41" s="3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55"/>
    </row>
    <row r="42" spans="1:23" ht="13.15" customHeight="1" x14ac:dyDescent="0.2">
      <c r="B42" s="24"/>
      <c r="C42" s="94"/>
      <c r="D42" s="25"/>
      <c r="E42" s="25"/>
      <c r="F42" s="85"/>
      <c r="G42" s="26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56"/>
    </row>
    <row r="43" spans="1:23" ht="13.15" customHeight="1" x14ac:dyDescent="0.2"/>
    <row r="44" spans="1:23" ht="13.15" customHeight="1" x14ac:dyDescent="0.2"/>
    <row r="45" spans="1:23" ht="13.15" customHeight="1" x14ac:dyDescent="0.2"/>
    <row r="46" spans="1:23" ht="13.15" customHeight="1" x14ac:dyDescent="0.2"/>
    <row r="47" spans="1:23" ht="13.15" customHeight="1" x14ac:dyDescent="0.2"/>
    <row r="48" spans="1:23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  <row r="55" ht="13.15" customHeight="1" x14ac:dyDescent="0.2"/>
    <row r="56" ht="13.15" customHeight="1" x14ac:dyDescent="0.2"/>
    <row r="57" ht="13.15" customHeight="1" x14ac:dyDescent="0.2"/>
    <row r="58" ht="13.15" customHeight="1" x14ac:dyDescent="0.2"/>
    <row r="59" ht="13.15" customHeight="1" x14ac:dyDescent="0.2"/>
    <row r="60" ht="13.15" customHeight="1" x14ac:dyDescent="0.2"/>
    <row r="61" ht="13.15" customHeight="1" x14ac:dyDescent="0.2"/>
    <row r="62" ht="13.15" customHeight="1" x14ac:dyDescent="0.2"/>
    <row r="63" ht="13.15" customHeight="1" x14ac:dyDescent="0.2"/>
    <row r="64" ht="13.15" customHeight="1" x14ac:dyDescent="0.2"/>
    <row r="65" ht="13.15" customHeight="1" x14ac:dyDescent="0.2"/>
    <row r="66" ht="13.15" customHeight="1" x14ac:dyDescent="0.2"/>
    <row r="67" ht="13.15" customHeight="1" x14ac:dyDescent="0.2"/>
    <row r="68" ht="13.15" customHeight="1" x14ac:dyDescent="0.2"/>
    <row r="69" ht="13.15" customHeight="1" x14ac:dyDescent="0.2"/>
    <row r="70" ht="13.15" customHeight="1" x14ac:dyDescent="0.2"/>
    <row r="71" ht="13.15" customHeight="1" x14ac:dyDescent="0.2"/>
    <row r="72" ht="13.15" customHeight="1" x14ac:dyDescent="0.2"/>
    <row r="73" ht="13.15" customHeight="1" x14ac:dyDescent="0.2"/>
    <row r="74" ht="13.15" customHeight="1" x14ac:dyDescent="0.2"/>
    <row r="75" ht="13.15" customHeight="1" x14ac:dyDescent="0.2"/>
    <row r="76" ht="13.15" customHeight="1" x14ac:dyDescent="0.2"/>
    <row r="77" ht="13.15" customHeight="1" x14ac:dyDescent="0.2"/>
    <row r="78" ht="13.15" customHeight="1" x14ac:dyDescent="0.2"/>
    <row r="79" ht="13.15" customHeight="1" x14ac:dyDescent="0.2"/>
    <row r="80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  <row r="87" ht="13.15" customHeight="1" x14ac:dyDescent="0.2"/>
    <row r="88" ht="13.15" customHeight="1" x14ac:dyDescent="0.2"/>
    <row r="89" ht="13.15" customHeight="1" x14ac:dyDescent="0.2"/>
    <row r="90" ht="13.15" customHeight="1" x14ac:dyDescent="0.2"/>
    <row r="91" ht="13.15" customHeight="1" x14ac:dyDescent="0.2"/>
    <row r="92" ht="13.15" customHeight="1" x14ac:dyDescent="0.2"/>
    <row r="93" ht="13.15" customHeight="1" x14ac:dyDescent="0.2"/>
    <row r="94" ht="13.15" customHeight="1" x14ac:dyDescent="0.2"/>
    <row r="95" ht="13.15" customHeight="1" x14ac:dyDescent="0.2"/>
    <row r="96" ht="13.15" customHeight="1" x14ac:dyDescent="0.2"/>
    <row r="97" ht="13.15" customHeight="1" x14ac:dyDescent="0.2"/>
    <row r="98" ht="13.15" customHeight="1" x14ac:dyDescent="0.2"/>
    <row r="99" ht="13.15" customHeight="1" x14ac:dyDescent="0.2"/>
    <row r="100" ht="13.15" customHeight="1" x14ac:dyDescent="0.2"/>
    <row r="101" ht="13.15" customHeight="1" x14ac:dyDescent="0.2"/>
    <row r="102" ht="13.15" customHeight="1" x14ac:dyDescent="0.2"/>
    <row r="103" ht="13.15" customHeight="1" x14ac:dyDescent="0.2"/>
    <row r="104" ht="13.15" customHeight="1" x14ac:dyDescent="0.2"/>
    <row r="105" ht="13.15" customHeight="1" x14ac:dyDescent="0.2"/>
    <row r="106" ht="13.15" customHeight="1" x14ac:dyDescent="0.2"/>
    <row r="107" ht="13.15" customHeight="1" x14ac:dyDescent="0.2"/>
    <row r="108" ht="13.15" customHeight="1" x14ac:dyDescent="0.2"/>
    <row r="109" ht="13.15" customHeight="1" x14ac:dyDescent="0.2"/>
    <row r="110" ht="13.15" customHeight="1" x14ac:dyDescent="0.2"/>
    <row r="111" ht="13.15" customHeight="1" x14ac:dyDescent="0.2"/>
    <row r="112" ht="13.15" customHeight="1" x14ac:dyDescent="0.2"/>
    <row r="113" ht="13.15" customHeight="1" x14ac:dyDescent="0.2"/>
    <row r="114" ht="13.15" customHeight="1" x14ac:dyDescent="0.2"/>
    <row r="115" ht="13.15" customHeight="1" x14ac:dyDescent="0.2"/>
    <row r="116" ht="13.15" customHeight="1" x14ac:dyDescent="0.2"/>
    <row r="117" ht="13.15" customHeight="1" x14ac:dyDescent="0.2"/>
    <row r="118" ht="13.15" customHeight="1" x14ac:dyDescent="0.2"/>
    <row r="119" ht="13.15" customHeight="1" x14ac:dyDescent="0.2"/>
    <row r="120" ht="13.15" customHeight="1" x14ac:dyDescent="0.2"/>
    <row r="121" ht="13.15" customHeight="1" x14ac:dyDescent="0.2"/>
    <row r="122" ht="13.15" customHeight="1" x14ac:dyDescent="0.2"/>
    <row r="123" ht="13.15" customHeight="1" x14ac:dyDescent="0.2"/>
    <row r="124" ht="13.15" customHeight="1" x14ac:dyDescent="0.2"/>
    <row r="125" ht="13.15" customHeight="1" x14ac:dyDescent="0.2"/>
    <row r="126" ht="13.15" customHeight="1" x14ac:dyDescent="0.2"/>
    <row r="127" ht="13.15" customHeight="1" x14ac:dyDescent="0.2"/>
    <row r="128" ht="13.15" customHeight="1" x14ac:dyDescent="0.2"/>
    <row r="129" ht="13.15" customHeight="1" x14ac:dyDescent="0.2"/>
    <row r="130" ht="13.15" customHeight="1" x14ac:dyDescent="0.2"/>
    <row r="131" ht="13.15" customHeight="1" x14ac:dyDescent="0.2"/>
    <row r="132" ht="13.15" customHeight="1" x14ac:dyDescent="0.2"/>
    <row r="133" ht="13.15" customHeight="1" x14ac:dyDescent="0.2"/>
    <row r="134" ht="13.15" customHeight="1" x14ac:dyDescent="0.2"/>
    <row r="135" ht="13.15" customHeight="1" x14ac:dyDescent="0.2"/>
    <row r="136" ht="13.15" customHeight="1" x14ac:dyDescent="0.2"/>
    <row r="137" ht="13.15" customHeight="1" x14ac:dyDescent="0.2"/>
    <row r="138" ht="13.15" customHeight="1" x14ac:dyDescent="0.2"/>
    <row r="139" ht="13.15" customHeight="1" x14ac:dyDescent="0.2"/>
    <row r="140" ht="13.15" customHeight="1" x14ac:dyDescent="0.2"/>
    <row r="141" ht="13.15" customHeight="1" x14ac:dyDescent="0.2"/>
    <row r="142" ht="13.15" customHeight="1" x14ac:dyDescent="0.2"/>
    <row r="143" ht="13.15" customHeight="1" x14ac:dyDescent="0.2"/>
    <row r="144" ht="13.15" customHeight="1" x14ac:dyDescent="0.2"/>
  </sheetData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45" orientation="portrait" horizontalDpi="4294967292" r:id="rId1"/>
  <headerFooter alignWithMargins="0">
    <oddHeader>&amp;R&amp;"Arial,Fett"&amp;14- Entwurf -</oddHeader>
    <oddFooter>&amp;L&amp;D, &amp;T&amp;CSeite &amp;P /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95</vt:i4>
      </vt:variant>
    </vt:vector>
  </HeadingPairs>
  <TitlesOfParts>
    <vt:vector size="98" baseType="lpstr">
      <vt:lpstr>Assumptions</vt:lpstr>
      <vt:lpstr>Probabilities</vt:lpstr>
      <vt:lpstr>DCF</vt:lpstr>
      <vt:lpstr>COGS</vt:lpstr>
      <vt:lpstr>DatN_Global_Discount_Rate</vt:lpstr>
      <vt:lpstr>DatN_Global_Start_Year</vt:lpstr>
      <vt:lpstr>DatR_RD_ASP</vt:lpstr>
      <vt:lpstr>DatR_RD_COGS</vt:lpstr>
      <vt:lpstr>DatR_RD_Current_Phase</vt:lpstr>
      <vt:lpstr>DatR_RD_Launch_Year</vt:lpstr>
      <vt:lpstr>DatR_RD_Market_Share</vt:lpstr>
      <vt:lpstr>DatR_RD_Market_Size</vt:lpstr>
      <vt:lpstr>DatR_RD_Marketing_Cost</vt:lpstr>
      <vt:lpstr>DatR_RD_Milestone_Phase_1</vt:lpstr>
      <vt:lpstr>DatR_RD_Milestone_Phase_2</vt:lpstr>
      <vt:lpstr>DatR_RD_Milestone_Phase_3</vt:lpstr>
      <vt:lpstr>DatR_RD_Milestone_Phase_Reg</vt:lpstr>
      <vt:lpstr>DatR_RD_Patent_Expiry</vt:lpstr>
      <vt:lpstr>DatR_RD_Pricing</vt:lpstr>
      <vt:lpstr>DatR_RD_Prob_Phase_1</vt:lpstr>
      <vt:lpstr>DatR_RD_Prob_Phase_2</vt:lpstr>
      <vt:lpstr>DatR_RD_Prob_Phase_3</vt:lpstr>
      <vt:lpstr>DatR_RD_Prob_Reg</vt:lpstr>
      <vt:lpstr>DatR_RD_Probs_Market_Share</vt:lpstr>
      <vt:lpstr>DatR_RD_Probs_Market_Size</vt:lpstr>
      <vt:lpstr>DatR_RD_Probs_Pricing</vt:lpstr>
      <vt:lpstr>DatR_RD_Royalty_Rate</vt:lpstr>
      <vt:lpstr>DatR_RD_Years_To_Peak</vt:lpstr>
      <vt:lpstr>DatR_RDAnn_Dev_Costs_Phase_1</vt:lpstr>
      <vt:lpstr>DatR_RDAnn_Dev_Costs_Phase_2</vt:lpstr>
      <vt:lpstr>DatR_RDAnn_Dev_Costs_Phase_3</vt:lpstr>
      <vt:lpstr>DatR_RDAnn_Dev_Costs_Reg</vt:lpstr>
      <vt:lpstr>DatR_RDAnn_Launch_Costs</vt:lpstr>
      <vt:lpstr>DatR_RDDes_Project_Leader</vt:lpstr>
      <vt:lpstr>DatR_RDDes_Project_Name</vt:lpstr>
      <vt:lpstr>dev_cost_phase1</vt:lpstr>
      <vt:lpstr>dev_cost_phase2</vt:lpstr>
      <vt:lpstr>dev_cost_phase3</vt:lpstr>
      <vt:lpstr>dev_cost_reg</vt:lpstr>
      <vt:lpstr>Develop</vt:lpstr>
      <vt:lpstr>discount_factor</vt:lpstr>
      <vt:lpstr>Discount_rate</vt:lpstr>
      <vt:lpstr>FCF_post_launch</vt:lpstr>
      <vt:lpstr>FCF_pre_launch</vt:lpstr>
      <vt:lpstr>FDA_approval</vt:lpstr>
      <vt:lpstr>Free_Cash_Flow</vt:lpstr>
      <vt:lpstr>launch_cost</vt:lpstr>
      <vt:lpstr>Launch_costs</vt:lpstr>
      <vt:lpstr>launch_year</vt:lpstr>
      <vt:lpstr>Licensor_CF_Phase_1</vt:lpstr>
      <vt:lpstr>Licensor_CF_Phase_2</vt:lpstr>
      <vt:lpstr>Licensor_CF_Phase_3</vt:lpstr>
      <vt:lpstr>Licensor_CF_Registration</vt:lpstr>
      <vt:lpstr>Licensor_CF_Royalties</vt:lpstr>
      <vt:lpstr>Licensor_PV_Phase_1</vt:lpstr>
      <vt:lpstr>Licensor_PV_Phase_2</vt:lpstr>
      <vt:lpstr>Licensor_PV_Phase_3</vt:lpstr>
      <vt:lpstr>Licensor_PV_Registration</vt:lpstr>
      <vt:lpstr>Licensor_PV_Royalties</vt:lpstr>
      <vt:lpstr>Market_share</vt:lpstr>
      <vt:lpstr>Market_size</vt:lpstr>
      <vt:lpstr>marketing_cost_rate</vt:lpstr>
      <vt:lpstr>Ongoing_costs</vt:lpstr>
      <vt:lpstr>patent_expiry</vt:lpstr>
      <vt:lpstr>Peak_sales</vt:lpstr>
      <vt:lpstr>peak_sales_table</vt:lpstr>
      <vt:lpstr>Phase_1_costs</vt:lpstr>
      <vt:lpstr>Phase_1_payment</vt:lpstr>
      <vt:lpstr>Phase_1_success</vt:lpstr>
      <vt:lpstr>Phase_2_costs</vt:lpstr>
      <vt:lpstr>Phase_2_payment</vt:lpstr>
      <vt:lpstr>Phase_2_success</vt:lpstr>
      <vt:lpstr>Phase_3_costs</vt:lpstr>
      <vt:lpstr>Phase_3_payment</vt:lpstr>
      <vt:lpstr>Phase_3_success</vt:lpstr>
      <vt:lpstr>Pricing</vt:lpstr>
      <vt:lpstr>Assumptions!Print_Area</vt:lpstr>
      <vt:lpstr>DCF!Print_Area</vt:lpstr>
      <vt:lpstr>prob_fda_approval</vt:lpstr>
      <vt:lpstr>prob_success_phase1</vt:lpstr>
      <vt:lpstr>prob_success_phase2</vt:lpstr>
      <vt:lpstr>prob_success_phase3</vt:lpstr>
      <vt:lpstr>probs_market_share</vt:lpstr>
      <vt:lpstr>probs_market_size</vt:lpstr>
      <vt:lpstr>probs_pricing</vt:lpstr>
      <vt:lpstr>PV_Development</vt:lpstr>
      <vt:lpstr>PV_Launch</vt:lpstr>
      <vt:lpstr>PV_Phase_1</vt:lpstr>
      <vt:lpstr>PV_Phase_2</vt:lpstr>
      <vt:lpstr>PV_Phase_3</vt:lpstr>
      <vt:lpstr>PV_post_launch</vt:lpstr>
      <vt:lpstr>PV_Registration</vt:lpstr>
      <vt:lpstr>Registration_costs</vt:lpstr>
      <vt:lpstr>Registration_payment</vt:lpstr>
      <vt:lpstr>royalty_rate</vt:lpstr>
      <vt:lpstr>Start_year</vt:lpstr>
      <vt:lpstr>Total_NPV</vt:lpstr>
      <vt:lpstr>Years_to_peak</vt:lpstr>
    </vt:vector>
  </TitlesOfParts>
  <Company>Syncopation Software,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cdalton</dc:creator>
  <cp:lastModifiedBy>Nicki</cp:lastModifiedBy>
  <cp:lastPrinted>2002-10-22T16:50:09Z</cp:lastPrinted>
  <dcterms:created xsi:type="dcterms:W3CDTF">2001-08-16T13:41:13Z</dcterms:created>
  <dcterms:modified xsi:type="dcterms:W3CDTF">2022-04-27T13:50:19Z</dcterms:modified>
</cp:coreProperties>
</file>