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marketing\videos\Vid_DPL9Pro_Capacity_DTfocus\"/>
    </mc:Choice>
  </mc:AlternateContent>
  <bookViews>
    <workbookView xWindow="0" yWindow="0" windowWidth="26175" windowHeight="11475"/>
  </bookViews>
  <sheets>
    <sheet name="Inputs" sheetId="2" r:id="rId1"/>
    <sheet name="Cash Flow" sheetId="1" r:id="rId2"/>
  </sheets>
  <definedNames>
    <definedName name="Capacity">Inputs!$D$6</definedName>
    <definedName name="Capacity_Table">Inputs!$H$6:$J$6</definedName>
    <definedName name="Capacity_Value">Inputs!$E$6</definedName>
    <definedName name="CAPEX">Inputs!$D$18</definedName>
    <definedName name="CAPEX_Multiplier_Large">Inputs!#REF!</definedName>
    <definedName name="CAPEX_Multiplier_Small">Inputs!#REF!</definedName>
    <definedName name="CAPEX_Table_Large">Inputs!$H$24:$J$25</definedName>
    <definedName name="CAPEX_Table_Medium">Inputs!$H$22:$J$23</definedName>
    <definedName name="CAPEX_Table_Small">Inputs!$H$20:$J$21</definedName>
    <definedName name="CAPEX_Value">Inputs!$E$18</definedName>
    <definedName name="COGS">Inputs!$D$15</definedName>
    <definedName name="COGS_Expansion">Inputs!$D$15</definedName>
    <definedName name="COGS_Multiplier">Inputs!$C$16</definedName>
    <definedName name="Demand_Dev">Inputs!$D$8</definedName>
    <definedName name="Demand_Em">Inputs!$D$10</definedName>
    <definedName name="Demand_Grw_Dev">Inputs!$C$9</definedName>
    <definedName name="Demand_Grw_Em">Inputs!$C$11</definedName>
    <definedName name="Discount_Rate">Inputs!$D$29</definedName>
    <definedName name="DPL_Capacity">Inputs!#REF!</definedName>
    <definedName name="DPL_CAPEX">Inputs!$G$20:$G$21</definedName>
    <definedName name="NPV">Inputs!$D$35</definedName>
    <definedName name="Price">Inputs!$D$13</definedName>
    <definedName name="Production_Locations">Inputs!$D$5</definedName>
    <definedName name="Supply_Disruption">Inputs!$D$26</definedName>
    <definedName name="Tariffs">Inputs!$D$27</definedName>
    <definedName name="Tax_Rate">Inputs!$D$30</definedName>
    <definedName name="Total_CAPEX">Inputs!#REF!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2" l="1"/>
  <c r="D13" i="1"/>
  <c r="H21" i="2" l="1"/>
  <c r="J25" i="2" l="1"/>
  <c r="I25" i="2"/>
  <c r="J24" i="2"/>
  <c r="I24" i="2"/>
  <c r="H24" i="2"/>
  <c r="J21" i="2" l="1"/>
  <c r="I21" i="2"/>
  <c r="J23" i="2" l="1"/>
  <c r="H23" i="2"/>
  <c r="H25" i="2" s="1"/>
  <c r="I23" i="2"/>
  <c r="J22" i="2"/>
  <c r="I22" i="2"/>
  <c r="H22" i="2"/>
  <c r="C21" i="1" l="1"/>
  <c r="E6" i="2" l="1"/>
  <c r="C11" i="1"/>
  <c r="C6" i="1"/>
  <c r="D18" i="1" l="1"/>
  <c r="C29" i="1" l="1"/>
  <c r="U18" i="1" l="1"/>
  <c r="E38" i="1"/>
  <c r="F38" i="1" s="1"/>
  <c r="G38" i="1" s="1"/>
  <c r="D8" i="1"/>
  <c r="D23" i="1" s="1"/>
  <c r="C12" i="1"/>
  <c r="C27" i="1"/>
  <c r="C7" i="1"/>
  <c r="D34" i="1"/>
  <c r="E2" i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G18" i="1" l="1"/>
  <c r="N18" i="1"/>
  <c r="T18" i="1"/>
  <c r="K18" i="1"/>
  <c r="M18" i="1"/>
  <c r="R18" i="1"/>
  <c r="P18" i="1"/>
  <c r="I18" i="1"/>
  <c r="E18" i="1"/>
  <c r="E34" i="1"/>
  <c r="H38" i="1"/>
  <c r="E8" i="1"/>
  <c r="E23" i="1" s="1"/>
  <c r="F18" i="1"/>
  <c r="H18" i="1"/>
  <c r="J18" i="1"/>
  <c r="S18" i="1"/>
  <c r="L18" i="1"/>
  <c r="Q18" i="1"/>
  <c r="V18" i="1"/>
  <c r="W18" i="1"/>
  <c r="O18" i="1"/>
  <c r="E13" i="1" l="1"/>
  <c r="E15" i="1" s="1"/>
  <c r="E19" i="1" s="1"/>
  <c r="D15" i="1"/>
  <c r="D19" i="1" s="1"/>
  <c r="F8" i="1"/>
  <c r="F23" i="1" s="1"/>
  <c r="I38" i="1"/>
  <c r="D25" i="1" l="1"/>
  <c r="D27" i="1" s="1"/>
  <c r="D24" i="1"/>
  <c r="D29" i="1" s="1"/>
  <c r="E25" i="1"/>
  <c r="E27" i="1" s="1"/>
  <c r="E24" i="1"/>
  <c r="E29" i="1" s="1"/>
  <c r="F13" i="1"/>
  <c r="F15" i="1" s="1"/>
  <c r="F19" i="1" s="1"/>
  <c r="G8" i="1"/>
  <c r="G23" i="1" s="1"/>
  <c r="J38" i="1"/>
  <c r="F25" i="1" l="1"/>
  <c r="F27" i="1" s="1"/>
  <c r="F24" i="1"/>
  <c r="F29" i="1" s="1"/>
  <c r="G13" i="1"/>
  <c r="G15" i="1" s="1"/>
  <c r="G19" i="1" s="1"/>
  <c r="E32" i="1"/>
  <c r="E33" i="1" s="1"/>
  <c r="E36" i="1" s="1"/>
  <c r="E39" i="1" s="1"/>
  <c r="D32" i="1"/>
  <c r="D33" i="1" s="1"/>
  <c r="D36" i="1" s="1"/>
  <c r="D39" i="1" s="1"/>
  <c r="K38" i="1"/>
  <c r="H8" i="1"/>
  <c r="H23" i="1" s="1"/>
  <c r="G25" i="1" l="1"/>
  <c r="G27" i="1" s="1"/>
  <c r="G24" i="1"/>
  <c r="G29" i="1" s="1"/>
  <c r="H13" i="1"/>
  <c r="H15" i="1" s="1"/>
  <c r="H19" i="1" s="1"/>
  <c r="F32" i="1"/>
  <c r="F33" i="1" s="1"/>
  <c r="F36" i="1" s="1"/>
  <c r="F39" i="1" s="1"/>
  <c r="L38" i="1"/>
  <c r="I8" i="1"/>
  <c r="I23" i="1" s="1"/>
  <c r="H25" i="1" l="1"/>
  <c r="H27" i="1" s="1"/>
  <c r="H24" i="1"/>
  <c r="H29" i="1" s="1"/>
  <c r="I13" i="1"/>
  <c r="I15" i="1" s="1"/>
  <c r="I19" i="1" s="1"/>
  <c r="G32" i="1"/>
  <c r="G33" i="1" s="1"/>
  <c r="G36" i="1" s="1"/>
  <c r="G39" i="1" s="1"/>
  <c r="J8" i="1"/>
  <c r="J23" i="1" s="1"/>
  <c r="M38" i="1"/>
  <c r="I25" i="1" l="1"/>
  <c r="I27" i="1" s="1"/>
  <c r="I24" i="1"/>
  <c r="I29" i="1" s="1"/>
  <c r="J13" i="1"/>
  <c r="J15" i="1" s="1"/>
  <c r="J19" i="1" s="1"/>
  <c r="H32" i="1"/>
  <c r="H33" i="1" s="1"/>
  <c r="H36" i="1" s="1"/>
  <c r="H39" i="1" s="1"/>
  <c r="N38" i="1"/>
  <c r="K8" i="1"/>
  <c r="K23" i="1" s="1"/>
  <c r="J25" i="1" l="1"/>
  <c r="J27" i="1" s="1"/>
  <c r="J24" i="1"/>
  <c r="J29" i="1" s="1"/>
  <c r="K13" i="1"/>
  <c r="K15" i="1" s="1"/>
  <c r="K19" i="1" s="1"/>
  <c r="I32" i="1"/>
  <c r="I33" i="1" s="1"/>
  <c r="I36" i="1" s="1"/>
  <c r="I39" i="1" s="1"/>
  <c r="L8" i="1"/>
  <c r="L23" i="1" s="1"/>
  <c r="O38" i="1"/>
  <c r="K25" i="1" l="1"/>
  <c r="K27" i="1" s="1"/>
  <c r="K24" i="1"/>
  <c r="K29" i="1" s="1"/>
  <c r="L13" i="1"/>
  <c r="L15" i="1" s="1"/>
  <c r="L19" i="1" s="1"/>
  <c r="J32" i="1"/>
  <c r="J33" i="1" s="1"/>
  <c r="J36" i="1" s="1"/>
  <c r="J39" i="1" s="1"/>
  <c r="M8" i="1"/>
  <c r="M23" i="1" s="1"/>
  <c r="P38" i="1"/>
  <c r="L25" i="1" l="1"/>
  <c r="L27" i="1" s="1"/>
  <c r="L24" i="1"/>
  <c r="L29" i="1" s="1"/>
  <c r="M13" i="1"/>
  <c r="M15" i="1" s="1"/>
  <c r="M19" i="1" s="1"/>
  <c r="K32" i="1"/>
  <c r="K33" i="1" s="1"/>
  <c r="K36" i="1" s="1"/>
  <c r="K39" i="1" s="1"/>
  <c r="Q38" i="1"/>
  <c r="N8" i="1"/>
  <c r="N23" i="1" s="1"/>
  <c r="M25" i="1" l="1"/>
  <c r="M27" i="1" s="1"/>
  <c r="M24" i="1"/>
  <c r="M29" i="1" s="1"/>
  <c r="N13" i="1"/>
  <c r="N15" i="1" s="1"/>
  <c r="N19" i="1" s="1"/>
  <c r="L32" i="1"/>
  <c r="L33" i="1" s="1"/>
  <c r="L36" i="1" s="1"/>
  <c r="L39" i="1" s="1"/>
  <c r="O8" i="1"/>
  <c r="O23" i="1" s="1"/>
  <c r="R38" i="1"/>
  <c r="N25" i="1" l="1"/>
  <c r="N27" i="1" s="1"/>
  <c r="N24" i="1"/>
  <c r="N29" i="1" s="1"/>
  <c r="O13" i="1"/>
  <c r="O15" i="1" s="1"/>
  <c r="O19" i="1" s="1"/>
  <c r="M32" i="1"/>
  <c r="M33" i="1" s="1"/>
  <c r="M36" i="1" s="1"/>
  <c r="M39" i="1" s="1"/>
  <c r="S38" i="1"/>
  <c r="P8" i="1"/>
  <c r="P23" i="1" s="1"/>
  <c r="O25" i="1" l="1"/>
  <c r="O27" i="1" s="1"/>
  <c r="O24" i="1"/>
  <c r="O29" i="1" s="1"/>
  <c r="P13" i="1"/>
  <c r="P15" i="1" s="1"/>
  <c r="P19" i="1" s="1"/>
  <c r="N32" i="1"/>
  <c r="N33" i="1" s="1"/>
  <c r="N36" i="1" s="1"/>
  <c r="N39" i="1" s="1"/>
  <c r="Q8" i="1"/>
  <c r="Q23" i="1" s="1"/>
  <c r="T38" i="1"/>
  <c r="P25" i="1" l="1"/>
  <c r="P27" i="1" s="1"/>
  <c r="P24" i="1"/>
  <c r="P29" i="1" s="1"/>
  <c r="Q13" i="1"/>
  <c r="Q15" i="1" s="1"/>
  <c r="Q19" i="1" s="1"/>
  <c r="O32" i="1"/>
  <c r="O33" i="1" s="1"/>
  <c r="O36" i="1" s="1"/>
  <c r="O39" i="1" s="1"/>
  <c r="R8" i="1"/>
  <c r="R23" i="1" s="1"/>
  <c r="U38" i="1"/>
  <c r="Q25" i="1" l="1"/>
  <c r="Q27" i="1" s="1"/>
  <c r="Q24" i="1"/>
  <c r="Q29" i="1" s="1"/>
  <c r="R13" i="1"/>
  <c r="R15" i="1" s="1"/>
  <c r="R19" i="1" s="1"/>
  <c r="P32" i="1"/>
  <c r="P33" i="1" s="1"/>
  <c r="P36" i="1" s="1"/>
  <c r="P39" i="1" s="1"/>
  <c r="S8" i="1"/>
  <c r="S23" i="1" s="1"/>
  <c r="V38" i="1"/>
  <c r="R25" i="1" l="1"/>
  <c r="R27" i="1" s="1"/>
  <c r="R24" i="1"/>
  <c r="R29" i="1" s="1"/>
  <c r="S13" i="1"/>
  <c r="S15" i="1" s="1"/>
  <c r="S19" i="1" s="1"/>
  <c r="Q32" i="1"/>
  <c r="Q33" i="1" s="1"/>
  <c r="Q36" i="1" s="1"/>
  <c r="Q39" i="1" s="1"/>
  <c r="W38" i="1"/>
  <c r="T8" i="1"/>
  <c r="T23" i="1" s="1"/>
  <c r="S25" i="1" l="1"/>
  <c r="S27" i="1" s="1"/>
  <c r="S24" i="1"/>
  <c r="S29" i="1" s="1"/>
  <c r="T13" i="1"/>
  <c r="T15" i="1" s="1"/>
  <c r="T19" i="1" s="1"/>
  <c r="R32" i="1"/>
  <c r="R33" i="1" s="1"/>
  <c r="R36" i="1" s="1"/>
  <c r="R39" i="1" s="1"/>
  <c r="U8" i="1"/>
  <c r="U23" i="1" s="1"/>
  <c r="T25" i="1" l="1"/>
  <c r="T27" i="1" s="1"/>
  <c r="T24" i="1"/>
  <c r="T29" i="1" s="1"/>
  <c r="U13" i="1"/>
  <c r="U15" i="1" s="1"/>
  <c r="U19" i="1" s="1"/>
  <c r="S32" i="1"/>
  <c r="S33" i="1" s="1"/>
  <c r="S36" i="1" s="1"/>
  <c r="S39" i="1" s="1"/>
  <c r="V8" i="1"/>
  <c r="V23" i="1" s="1"/>
  <c r="U25" i="1" l="1"/>
  <c r="U27" i="1" s="1"/>
  <c r="U24" i="1"/>
  <c r="U29" i="1" s="1"/>
  <c r="V13" i="1"/>
  <c r="V15" i="1" s="1"/>
  <c r="V19" i="1" s="1"/>
  <c r="T32" i="1"/>
  <c r="T33" i="1" s="1"/>
  <c r="T36" i="1" s="1"/>
  <c r="T39" i="1" s="1"/>
  <c r="W8" i="1"/>
  <c r="W23" i="1" s="1"/>
  <c r="V25" i="1" l="1"/>
  <c r="V27" i="1" s="1"/>
  <c r="V24" i="1"/>
  <c r="V29" i="1" s="1"/>
  <c r="W13" i="1"/>
  <c r="W15" i="1" s="1"/>
  <c r="W19" i="1" s="1"/>
  <c r="U32" i="1"/>
  <c r="U33" i="1" s="1"/>
  <c r="U36" i="1" s="1"/>
  <c r="U39" i="1" s="1"/>
  <c r="W25" i="1" l="1"/>
  <c r="W27" i="1" s="1"/>
  <c r="W24" i="1"/>
  <c r="W29" i="1" s="1"/>
  <c r="V32" i="1"/>
  <c r="V33" i="1" s="1"/>
  <c r="V36" i="1" s="1"/>
  <c r="V39" i="1" s="1"/>
  <c r="W32" i="1" l="1"/>
  <c r="W33" i="1" s="1"/>
  <c r="W36" i="1" s="1"/>
  <c r="W39" i="1" s="1"/>
  <c r="D41" i="1" s="1"/>
  <c r="D35" i="2" l="1"/>
</calcChain>
</file>

<file path=xl/sharedStrings.xml><?xml version="1.0" encoding="utf-8"?>
<sst xmlns="http://schemas.openxmlformats.org/spreadsheetml/2006/main" count="71" uniqueCount="67">
  <si>
    <t>Developed Market</t>
  </si>
  <si>
    <t>Demand</t>
  </si>
  <si>
    <t>Annual Demand Growth (%)</t>
  </si>
  <si>
    <t>Emerging Market</t>
  </si>
  <si>
    <t>Capacity</t>
  </si>
  <si>
    <t>Inputs</t>
  </si>
  <si>
    <t>Price (per Widget)</t>
  </si>
  <si>
    <t>COGS</t>
  </si>
  <si>
    <t>Low = 8%, Nominal =  10%, High = 14%</t>
  </si>
  <si>
    <t>CAPEX</t>
  </si>
  <si>
    <t>Demand in Developed</t>
  </si>
  <si>
    <t>Demand in Emerging</t>
  </si>
  <si>
    <t>Demand Growth in Developed</t>
  </si>
  <si>
    <t>Demand Growth in Emerging</t>
  </si>
  <si>
    <t xml:space="preserve">Supply Disruption </t>
  </si>
  <si>
    <t>Price per Widget</t>
  </si>
  <si>
    <t>NPV</t>
  </si>
  <si>
    <t xml:space="preserve">Capex </t>
  </si>
  <si>
    <t xml:space="preserve">Demand in Developed Market in Start Year </t>
  </si>
  <si>
    <t xml:space="preserve">Developed Market Demand by Year </t>
  </si>
  <si>
    <t xml:space="preserve">Demand in Emerging Market in Start Year </t>
  </si>
  <si>
    <t xml:space="preserve">Emerging Market Demand by Year </t>
  </si>
  <si>
    <t xml:space="preserve">Total Market Demand by Year </t>
  </si>
  <si>
    <t xml:space="preserve">Tariffs </t>
  </si>
  <si>
    <t xml:space="preserve">Capacity </t>
  </si>
  <si>
    <t>Low</t>
  </si>
  <si>
    <t>Nominal</t>
  </si>
  <si>
    <t>High</t>
  </si>
  <si>
    <t>Current Value</t>
  </si>
  <si>
    <t>COGS Multiplier</t>
  </si>
  <si>
    <t>Lower COGS if Expansion in Developed (1)</t>
  </si>
  <si>
    <t>Expand in Developed =1, Build New in Emerging =2</t>
  </si>
  <si>
    <t>Small</t>
  </si>
  <si>
    <t xml:space="preserve">Medium </t>
  </si>
  <si>
    <t>Large</t>
  </si>
  <si>
    <t>Notes</t>
  </si>
  <si>
    <t>Location</t>
  </si>
  <si>
    <t>Free Cash Flow</t>
  </si>
  <si>
    <t xml:space="preserve">COGS </t>
  </si>
  <si>
    <t>Discount Rate</t>
  </si>
  <si>
    <t>Discount factor</t>
  </si>
  <si>
    <t xml:space="preserve">Discounted Free Cash Flow </t>
  </si>
  <si>
    <t>Tax Rate</t>
  </si>
  <si>
    <t>Low = 1000, High =2000</t>
  </si>
  <si>
    <t>Low =750, High = 1250</t>
  </si>
  <si>
    <t>Ranges/Tables</t>
  </si>
  <si>
    <t>Medium</t>
  </si>
  <si>
    <t xml:space="preserve">Large </t>
  </si>
  <si>
    <t>Capacity Level</t>
  </si>
  <si>
    <t>Row</t>
  </si>
  <si>
    <t>Output</t>
  </si>
  <si>
    <t xml:space="preserve">   Capacity Expansion Plan 2017</t>
  </si>
  <si>
    <t>EBITDA</t>
  </si>
  <si>
    <t>Income tax</t>
  </si>
  <si>
    <t xml:space="preserve">Demand Served </t>
  </si>
  <si>
    <t>Tariffs (% of sales)</t>
  </si>
  <si>
    <t>Low = 5%, Nominal =  10%, High = 15%</t>
  </si>
  <si>
    <t>Low = 2%, Nominal =  4%, High = 6%</t>
  </si>
  <si>
    <t>Total Sales</t>
  </si>
  <si>
    <t>Cash Flow</t>
  </si>
  <si>
    <t>PV</t>
  </si>
  <si>
    <t>None= 100%, Some=90%, Severe=40%  //  Supply Disruption only is Expansion in Developed (1)</t>
  </si>
  <si>
    <t>Developed Market Sales</t>
  </si>
  <si>
    <t>Emerging Market Sales</t>
  </si>
  <si>
    <t>Yes=5%, No= $0   //  Tariffs levied only if Expansion in developed (1)</t>
  </si>
  <si>
    <t>Small =3.0, Medium=4.5, Large=10.0</t>
  </si>
  <si>
    <t>Production Expansion 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</si>
</sst>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164" formatCode="0.0%"/>
    <numFmt numFmtId="165" formatCode="&quot;$&quot;#,##0"/>
    <numFmt numFmtId="166" formatCode="&quot;$&quot;#,##0.00"/>
    <numFmt numFmtId="167" formatCode="0.0"/>
    <numFmt numFmtId="168" formatCode="&quot;$&quot;#,##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Segoe UI Light"/>
      <family val="2"/>
    </font>
    <font>
      <b/>
      <sz val="9"/>
      <color theme="1"/>
      <name val="Segoe UI Light"/>
      <family val="2"/>
    </font>
    <font>
      <i/>
      <sz val="9"/>
      <color theme="1"/>
      <name val="Segoe UI Light"/>
      <family val="2"/>
    </font>
    <font>
      <u/>
      <sz val="9"/>
      <color theme="1"/>
      <name val="Segoe UI Light"/>
      <family val="2"/>
    </font>
    <font>
      <i/>
      <sz val="9"/>
      <name val="Segoe UI Light"/>
      <family val="2"/>
    </font>
    <font>
      <sz val="9"/>
      <name val="Segoe UI Light"/>
      <family val="2"/>
    </font>
    <font>
      <sz val="9"/>
      <color rgb="FFFF0000"/>
      <name val="Segoe UI Light"/>
      <family val="2"/>
    </font>
    <font>
      <b/>
      <sz val="9"/>
      <name val="Segoe UI Light"/>
      <family val="2"/>
    </font>
    <font>
      <b/>
      <sz val="10"/>
      <color theme="1"/>
      <name val="Segoe UI"/>
      <family val="2"/>
    </font>
    <font>
      <sz val="10"/>
      <color theme="1"/>
      <name val="Segoe UI Light"/>
      <family val="2"/>
    </font>
    <font>
      <b/>
      <sz val="11"/>
      <color theme="1"/>
      <name val="Segoe UI Light"/>
      <family val="2"/>
    </font>
    <font>
      <sz val="8"/>
      <color theme="1"/>
      <name val="Segoe UI Light"/>
      <family val="2"/>
    </font>
    <font>
      <b/>
      <sz val="9"/>
      <color theme="1"/>
      <name val="Segoe UI"/>
      <family val="2"/>
    </font>
    <font>
      <b/>
      <sz val="10"/>
      <color theme="1"/>
      <name val="Segoe UI Light"/>
      <family val="2"/>
    </font>
    <font>
      <b/>
      <u/>
      <sz val="10"/>
      <color theme="1"/>
      <name val="Segoe UI Light"/>
      <family val="2"/>
    </font>
    <font>
      <i/>
      <sz val="10"/>
      <color theme="1"/>
      <name val="Segoe UI Light"/>
      <family val="2"/>
    </font>
    <font>
      <b/>
      <sz val="12"/>
      <color theme="1"/>
      <name val="Segoe UI Light"/>
      <family val="2"/>
    </font>
    <font>
      <sz val="11"/>
      <color theme="4" tint="-0.499984740745262"/>
      <name val="Segoe UI Semibold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DEFE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BF9B7"/>
        <bgColor indexed="64"/>
      </patternFill>
    </fill>
    <fill>
      <patternFill patternType="solid">
        <fgColor rgb="FFA1F1A1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/>
    <xf numFmtId="0" fontId="3" fillId="2" borderId="0" xfId="0" applyFont="1" applyFill="1" applyAlignment="1">
      <alignment horizontal="center" vertical="center"/>
    </xf>
    <xf numFmtId="0" fontId="2" fillId="2" borderId="0" xfId="0" applyFont="1" applyFill="1"/>
    <xf numFmtId="6" fontId="3" fillId="3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3" fillId="0" borderId="0" xfId="0" applyFont="1"/>
    <xf numFmtId="0" fontId="13" fillId="2" borderId="0" xfId="0" applyFont="1" applyFill="1"/>
    <xf numFmtId="0" fontId="3" fillId="2" borderId="0" xfId="0" applyFont="1" applyFill="1" applyAlignment="1">
      <alignment horizontal="center"/>
    </xf>
    <xf numFmtId="9" fontId="4" fillId="2" borderId="0" xfId="0" applyNumberFormat="1" applyFont="1" applyFill="1" applyAlignment="1">
      <alignment horizontal="center"/>
    </xf>
    <xf numFmtId="0" fontId="4" fillId="2" borderId="0" xfId="0" applyFont="1" applyFill="1"/>
    <xf numFmtId="6" fontId="3" fillId="2" borderId="0" xfId="0" applyNumberFormat="1" applyFont="1" applyFill="1" applyAlignment="1">
      <alignment horizontal="center"/>
    </xf>
    <xf numFmtId="0" fontId="4" fillId="2" borderId="0" xfId="0" applyNumberFormat="1" applyFont="1" applyFill="1" applyAlignment="1">
      <alignment horizontal="center"/>
    </xf>
    <xf numFmtId="0" fontId="3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center"/>
    </xf>
    <xf numFmtId="6" fontId="2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 indent="1"/>
    </xf>
    <xf numFmtId="6" fontId="3" fillId="2" borderId="0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 indent="1"/>
    </xf>
    <xf numFmtId="0" fontId="2" fillId="2" borderId="0" xfId="0" applyFont="1" applyFill="1" applyAlignment="1">
      <alignment horizontal="left" indent="2"/>
    </xf>
    <xf numFmtId="9" fontId="3" fillId="4" borderId="1" xfId="0" applyNumberFormat="1" applyFont="1" applyFill="1" applyBorder="1" applyAlignment="1">
      <alignment horizontal="center"/>
    </xf>
    <xf numFmtId="9" fontId="3" fillId="2" borderId="0" xfId="0" applyNumberFormat="1" applyFont="1" applyFill="1" applyBorder="1" applyAlignment="1">
      <alignment horizontal="center"/>
    </xf>
    <xf numFmtId="0" fontId="11" fillId="0" borderId="0" xfId="0" applyFont="1" applyFill="1"/>
    <xf numFmtId="0" fontId="11" fillId="0" borderId="0" xfId="0" applyFont="1" applyFill="1" applyAlignment="1">
      <alignment horizontal="left" indent="1"/>
    </xf>
    <xf numFmtId="0" fontId="11" fillId="0" borderId="0" xfId="0" applyFont="1" applyFill="1" applyAlignment="1">
      <alignment horizontal="left" indent="2"/>
    </xf>
    <xf numFmtId="0" fontId="11" fillId="0" borderId="0" xfId="0" applyFont="1" applyFill="1" applyAlignment="1">
      <alignment horizontal="left"/>
    </xf>
    <xf numFmtId="0" fontId="13" fillId="0" borderId="0" xfId="0" applyFont="1" applyFill="1"/>
    <xf numFmtId="6" fontId="2" fillId="0" borderId="0" xfId="0" applyNumberFormat="1" applyFont="1" applyFill="1" applyAlignment="1">
      <alignment horizontal="center"/>
    </xf>
    <xf numFmtId="9" fontId="3" fillId="0" borderId="0" xfId="0" applyNumberFormat="1" applyFont="1" applyFill="1" applyBorder="1" applyAlignment="1">
      <alignment horizontal="center"/>
    </xf>
    <xf numFmtId="6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8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12" fillId="0" borderId="0" xfId="0" applyFont="1" applyFill="1"/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9" fontId="3" fillId="7" borderId="1" xfId="0" applyNumberFormat="1" applyFont="1" applyFill="1" applyBorder="1" applyAlignment="1">
      <alignment horizontal="center"/>
    </xf>
    <xf numFmtId="0" fontId="3" fillId="7" borderId="1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9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1" fontId="2" fillId="2" borderId="0" xfId="0" applyNumberFormat="1" applyFont="1" applyFill="1"/>
    <xf numFmtId="2" fontId="2" fillId="2" borderId="0" xfId="0" applyNumberFormat="1" applyFont="1" applyFill="1"/>
    <xf numFmtId="165" fontId="2" fillId="2" borderId="0" xfId="0" applyNumberFormat="1" applyFont="1" applyFill="1"/>
    <xf numFmtId="165" fontId="7" fillId="2" borderId="0" xfId="0" applyNumberFormat="1" applyFont="1" applyFill="1"/>
    <xf numFmtId="0" fontId="7" fillId="2" borderId="0" xfId="0" applyFont="1" applyFill="1"/>
    <xf numFmtId="2" fontId="8" fillId="2" borderId="0" xfId="0" applyNumberFormat="1" applyFont="1" applyFill="1"/>
    <xf numFmtId="165" fontId="8" fillId="2" borderId="0" xfId="0" applyNumberFormat="1" applyFont="1" applyFill="1"/>
    <xf numFmtId="10" fontId="7" fillId="2" borderId="0" xfId="0" applyNumberFormat="1" applyFont="1" applyFill="1"/>
    <xf numFmtId="166" fontId="7" fillId="2" borderId="0" xfId="0" applyNumberFormat="1" applyFont="1" applyFill="1"/>
    <xf numFmtId="0" fontId="5" fillId="2" borderId="0" xfId="0" applyFont="1" applyFill="1"/>
    <xf numFmtId="9" fontId="4" fillId="2" borderId="0" xfId="0" applyNumberFormat="1" applyFont="1" applyFill="1"/>
    <xf numFmtId="0" fontId="15" fillId="9" borderId="1" xfId="0" applyFont="1" applyFill="1" applyBorder="1" applyAlignment="1">
      <alignment horizontal="center" vertical="center"/>
    </xf>
    <xf numFmtId="1" fontId="2" fillId="0" borderId="0" xfId="0" applyNumberFormat="1" applyFont="1" applyFill="1"/>
    <xf numFmtId="2" fontId="2" fillId="0" borderId="0" xfId="0" applyNumberFormat="1" applyFont="1" applyFill="1"/>
    <xf numFmtId="165" fontId="2" fillId="0" borderId="0" xfId="0" applyNumberFormat="1" applyFont="1" applyFill="1"/>
    <xf numFmtId="165" fontId="7" fillId="0" borderId="0" xfId="0" applyNumberFormat="1" applyFont="1" applyFill="1"/>
    <xf numFmtId="165" fontId="8" fillId="0" borderId="0" xfId="0" applyNumberFormat="1" applyFont="1" applyFill="1"/>
    <xf numFmtId="9" fontId="7" fillId="0" borderId="0" xfId="0" applyNumberFormat="1" applyFont="1" applyFill="1"/>
    <xf numFmtId="164" fontId="7" fillId="0" borderId="0" xfId="0" applyNumberFormat="1" applyFont="1" applyFill="1"/>
    <xf numFmtId="0" fontId="3" fillId="2" borderId="0" xfId="0" applyFont="1" applyFill="1" applyAlignment="1">
      <alignment horizontal="left" indent="1"/>
    </xf>
    <xf numFmtId="0" fontId="9" fillId="2" borderId="0" xfId="0" applyFont="1" applyFill="1"/>
    <xf numFmtId="0" fontId="16" fillId="2" borderId="0" xfId="0" applyFont="1" applyFill="1"/>
    <xf numFmtId="0" fontId="4" fillId="0" borderId="0" xfId="0" applyFont="1" applyFill="1"/>
    <xf numFmtId="9" fontId="4" fillId="0" borderId="0" xfId="1" applyNumberFormat="1" applyFont="1" applyFill="1"/>
    <xf numFmtId="9" fontId="4" fillId="0" borderId="0" xfId="0" applyNumberFormat="1" applyFont="1" applyFill="1"/>
    <xf numFmtId="6" fontId="4" fillId="0" borderId="0" xfId="0" applyNumberFormat="1" applyFont="1" applyFill="1"/>
    <xf numFmtId="9" fontId="6" fillId="0" borderId="0" xfId="0" applyNumberFormat="1" applyFont="1" applyFill="1"/>
    <xf numFmtId="0" fontId="7" fillId="0" borderId="0" xfId="0" applyFont="1" applyFill="1"/>
    <xf numFmtId="9" fontId="2" fillId="0" borderId="0" xfId="0" applyNumberFormat="1" applyFont="1" applyFill="1"/>
    <xf numFmtId="0" fontId="6" fillId="0" borderId="0" xfId="0" applyFont="1" applyFill="1"/>
    <xf numFmtId="0" fontId="17" fillId="2" borderId="0" xfId="0" applyFont="1" applyFill="1" applyAlignment="1">
      <alignment horizontal="center"/>
    </xf>
    <xf numFmtId="0" fontId="18" fillId="2" borderId="0" xfId="0" applyFont="1" applyFill="1"/>
    <xf numFmtId="166" fontId="9" fillId="0" borderId="0" xfId="0" applyNumberFormat="1" applyFont="1" applyFill="1"/>
    <xf numFmtId="166" fontId="7" fillId="0" borderId="0" xfId="0" applyNumberFormat="1" applyFont="1" applyFill="1"/>
    <xf numFmtId="166" fontId="8" fillId="0" borderId="0" xfId="0" applyNumberFormat="1" applyFont="1" applyFill="1"/>
    <xf numFmtId="166" fontId="3" fillId="0" borderId="0" xfId="0" applyNumberFormat="1" applyFont="1" applyFill="1"/>
    <xf numFmtId="166" fontId="2" fillId="0" borderId="0" xfId="0" applyNumberFormat="1" applyFont="1" applyFill="1"/>
    <xf numFmtId="2" fontId="3" fillId="0" borderId="0" xfId="0" applyNumberFormat="1" applyFont="1" applyFill="1"/>
    <xf numFmtId="167" fontId="2" fillId="0" borderId="0" xfId="0" applyNumberFormat="1" applyFont="1" applyFill="1" applyBorder="1" applyAlignment="1">
      <alignment horizontal="center"/>
    </xf>
    <xf numFmtId="168" fontId="3" fillId="2" borderId="1" xfId="0" applyNumberFormat="1" applyFont="1" applyFill="1" applyBorder="1" applyAlignment="1">
      <alignment horizontal="center"/>
    </xf>
    <xf numFmtId="168" fontId="9" fillId="0" borderId="0" xfId="0" applyNumberFormat="1" applyFont="1" applyFill="1" applyBorder="1"/>
    <xf numFmtId="0" fontId="4" fillId="0" borderId="8" xfId="0" applyNumberFormat="1" applyFont="1" applyFill="1" applyBorder="1" applyAlignment="1">
      <alignment horizontal="center"/>
    </xf>
    <xf numFmtId="165" fontId="2" fillId="0" borderId="8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165" fontId="2" fillId="0" borderId="5" xfId="0" applyNumberFormat="1" applyFont="1" applyFill="1" applyBorder="1" applyAlignment="1">
      <alignment horizontal="center"/>
    </xf>
    <xf numFmtId="0" fontId="4" fillId="0" borderId="0" xfId="0" applyFont="1"/>
    <xf numFmtId="0" fontId="19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C1C1"/>
      <color rgb="FFFFB3B3"/>
      <color rgb="FFFF9999"/>
      <color rgb="FFA1F1A1"/>
      <color rgb="FFFBF9B7"/>
      <color rgb="FFD5B8EA"/>
      <color rgb="FFBA8CDC"/>
      <color rgb="FF83ED83"/>
      <color rgb="FF9DEFED"/>
      <color rgb="FFF8F5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</xdr:col>
      <xdr:colOff>659130</xdr:colOff>
      <xdr:row>1</xdr:row>
      <xdr:rowOff>1905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tx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28575"/>
          <a:ext cx="640080" cy="640080"/>
        </a:xfrm>
        <a:prstGeom prst="rect">
          <a:avLst/>
        </a:prstGeom>
        <a:ln w="127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zoomScaleNormal="100" workbookViewId="0">
      <selection activeCell="D19" sqref="D19"/>
    </sheetView>
  </sheetViews>
  <sheetFormatPr defaultColWidth="0" defaultRowHeight="12" zeroHeight="1" x14ac:dyDescent="0.2"/>
  <cols>
    <col min="1" max="1" width="5" style="3" customWidth="1"/>
    <col min="2" max="2" width="31.28515625" style="1" customWidth="1"/>
    <col min="3" max="3" width="12.7109375" style="1" customWidth="1"/>
    <col min="4" max="4" width="12.7109375" style="2" customWidth="1"/>
    <col min="5" max="5" width="18.5703125" style="2" customWidth="1"/>
    <col min="6" max="6" width="12.7109375" style="1" customWidth="1"/>
    <col min="7" max="10" width="10.7109375" style="1" customWidth="1"/>
    <col min="11" max="11" width="12.7109375" style="1" customWidth="1"/>
    <col min="12" max="12" width="67.28515625" style="1" customWidth="1"/>
    <col min="13" max="13" width="5.28515625" style="8" customWidth="1"/>
    <col min="14" max="16384" width="9.140625" style="1" hidden="1"/>
  </cols>
  <sheetData>
    <row r="1" spans="1:12" ht="52.5" customHeight="1" x14ac:dyDescent="0.3">
      <c r="A1" s="8"/>
      <c r="B1" s="98"/>
      <c r="C1" s="99" t="s">
        <v>51</v>
      </c>
      <c r="E1" s="5"/>
      <c r="F1" s="8"/>
      <c r="G1" s="8"/>
      <c r="H1" s="8"/>
      <c r="I1" s="8"/>
      <c r="J1" s="8"/>
      <c r="K1" s="8"/>
      <c r="L1" s="8"/>
    </row>
    <row r="2" spans="1:12" ht="9" customHeight="1" x14ac:dyDescent="0.2">
      <c r="A2" s="8"/>
      <c r="B2" s="101" t="s">
        <v>5</v>
      </c>
      <c r="C2" s="4"/>
      <c r="D2" s="105" t="s">
        <v>28</v>
      </c>
      <c r="E2" s="106"/>
      <c r="F2" s="8"/>
      <c r="G2" s="105" t="s">
        <v>45</v>
      </c>
      <c r="H2" s="109"/>
      <c r="I2" s="109"/>
      <c r="J2" s="106"/>
      <c r="K2" s="7"/>
      <c r="L2" s="101" t="s">
        <v>35</v>
      </c>
    </row>
    <row r="3" spans="1:12" ht="12" customHeight="1" x14ac:dyDescent="0.2">
      <c r="A3" s="8"/>
      <c r="B3" s="102"/>
      <c r="C3" s="4"/>
      <c r="D3" s="107"/>
      <c r="E3" s="108"/>
      <c r="F3" s="8"/>
      <c r="G3" s="107"/>
      <c r="H3" s="110"/>
      <c r="I3" s="110"/>
      <c r="J3" s="108"/>
      <c r="K3" s="7"/>
      <c r="L3" s="102"/>
    </row>
    <row r="4" spans="1:12" ht="9" customHeight="1" x14ac:dyDescent="0.2">
      <c r="A4" s="8"/>
      <c r="B4" s="7"/>
      <c r="C4" s="4"/>
      <c r="D4" s="5"/>
      <c r="E4" s="7"/>
      <c r="F4" s="8"/>
      <c r="G4" s="6"/>
      <c r="H4" s="7"/>
      <c r="I4" s="7"/>
      <c r="J4" s="7"/>
      <c r="K4" s="7"/>
      <c r="L4" s="7"/>
    </row>
    <row r="5" spans="1:12" ht="14.25" x14ac:dyDescent="0.25">
      <c r="A5" s="8"/>
      <c r="B5" s="29" t="s">
        <v>66</v>
      </c>
      <c r="C5" s="8"/>
      <c r="D5" s="42">
        <v>1</v>
      </c>
      <c r="E5" s="3"/>
      <c r="F5" s="8"/>
      <c r="G5" s="46" t="s">
        <v>49</v>
      </c>
      <c r="H5" s="46" t="s">
        <v>32</v>
      </c>
      <c r="I5" s="46" t="s">
        <v>33</v>
      </c>
      <c r="J5" s="46" t="s">
        <v>34</v>
      </c>
      <c r="K5" s="5"/>
      <c r="L5" s="3" t="s">
        <v>31</v>
      </c>
    </row>
    <row r="6" spans="1:12" ht="14.25" x14ac:dyDescent="0.25">
      <c r="A6" s="8"/>
      <c r="B6" s="29" t="s">
        <v>24</v>
      </c>
      <c r="C6" s="8"/>
      <c r="D6" s="42">
        <v>1</v>
      </c>
      <c r="E6" s="38">
        <f>INDEX(H6:J6, Capacity)</f>
        <v>3</v>
      </c>
      <c r="F6" s="8"/>
      <c r="G6" s="10">
        <v>1</v>
      </c>
      <c r="H6" s="91">
        <v>3</v>
      </c>
      <c r="I6" s="49">
        <v>4.5</v>
      </c>
      <c r="J6" s="91">
        <v>10</v>
      </c>
      <c r="K6" s="5"/>
      <c r="L6" s="3" t="s">
        <v>65</v>
      </c>
    </row>
    <row r="7" spans="1:12" ht="14.25" x14ac:dyDescent="0.25">
      <c r="A7" s="8"/>
      <c r="B7" s="29"/>
      <c r="C7" s="8"/>
      <c r="D7" s="13"/>
      <c r="E7" s="10"/>
      <c r="F7" s="8"/>
      <c r="G7" s="10"/>
      <c r="H7" s="10"/>
      <c r="I7" s="10"/>
      <c r="J7" s="3"/>
      <c r="K7" s="8"/>
      <c r="L7" s="3"/>
    </row>
    <row r="8" spans="1:12" ht="14.25" x14ac:dyDescent="0.25">
      <c r="A8" s="8"/>
      <c r="B8" s="29" t="s">
        <v>10</v>
      </c>
      <c r="C8" s="8"/>
      <c r="D8" s="43">
        <v>1</v>
      </c>
      <c r="E8" s="3"/>
      <c r="F8" s="8"/>
      <c r="G8" s="3"/>
      <c r="H8" s="3"/>
      <c r="I8" s="3"/>
      <c r="J8" s="3"/>
      <c r="K8" s="8"/>
      <c r="L8" s="3" t="s">
        <v>43</v>
      </c>
    </row>
    <row r="9" spans="1:12" ht="14.25" x14ac:dyDescent="0.25">
      <c r="A9" s="8"/>
      <c r="B9" s="30" t="s">
        <v>12</v>
      </c>
      <c r="C9" s="14">
        <v>0.06</v>
      </c>
      <c r="D9" s="13"/>
      <c r="E9" s="3"/>
      <c r="F9" s="8"/>
      <c r="G9" s="3"/>
      <c r="H9" s="3"/>
      <c r="I9" s="3"/>
      <c r="J9" s="3"/>
      <c r="K9" s="8"/>
      <c r="L9" s="3" t="s">
        <v>57</v>
      </c>
    </row>
    <row r="10" spans="1:12" ht="14.25" x14ac:dyDescent="0.25">
      <c r="A10" s="8"/>
      <c r="B10" s="29" t="s">
        <v>11</v>
      </c>
      <c r="C10" s="15"/>
      <c r="D10" s="43">
        <v>0.75</v>
      </c>
      <c r="E10" s="3"/>
      <c r="F10" s="8"/>
      <c r="G10" s="3"/>
      <c r="H10" s="3"/>
      <c r="I10" s="3"/>
      <c r="J10" s="3"/>
      <c r="K10" s="8"/>
      <c r="L10" s="3" t="s">
        <v>44</v>
      </c>
    </row>
    <row r="11" spans="1:12" ht="14.25" x14ac:dyDescent="0.25">
      <c r="A11" s="8"/>
      <c r="B11" s="30" t="s">
        <v>13</v>
      </c>
      <c r="C11" s="14">
        <v>0.1</v>
      </c>
      <c r="D11" s="13"/>
      <c r="E11" s="3"/>
      <c r="F11" s="8"/>
      <c r="G11" s="3"/>
      <c r="H11" s="3"/>
      <c r="I11" s="3"/>
      <c r="J11" s="3"/>
      <c r="K11" s="8"/>
      <c r="L11" s="3" t="s">
        <v>56</v>
      </c>
    </row>
    <row r="12" spans="1:12" ht="14.25" x14ac:dyDescent="0.25">
      <c r="A12" s="8"/>
      <c r="B12" s="29"/>
      <c r="C12" s="15"/>
      <c r="D12" s="13"/>
      <c r="E12" s="3"/>
      <c r="F12" s="8"/>
      <c r="G12" s="3"/>
      <c r="H12" s="3"/>
      <c r="I12" s="3"/>
      <c r="J12" s="3"/>
      <c r="K12" s="8"/>
      <c r="L12" s="3"/>
    </row>
    <row r="13" spans="1:12" ht="14.25" x14ac:dyDescent="0.25">
      <c r="A13" s="8"/>
      <c r="B13" s="29" t="s">
        <v>15</v>
      </c>
      <c r="C13" s="15"/>
      <c r="D13" s="9">
        <v>75</v>
      </c>
      <c r="E13" s="3"/>
      <c r="F13" s="8"/>
      <c r="G13" s="3"/>
      <c r="H13" s="3"/>
      <c r="I13" s="3"/>
      <c r="J13" s="3"/>
      <c r="K13" s="8"/>
      <c r="L13" s="3"/>
    </row>
    <row r="14" spans="1:12" ht="14.25" x14ac:dyDescent="0.25">
      <c r="A14" s="8"/>
      <c r="B14" s="29"/>
      <c r="C14" s="15"/>
      <c r="D14" s="16"/>
      <c r="E14" s="3"/>
      <c r="F14" s="8"/>
      <c r="G14" s="3"/>
      <c r="H14" s="3"/>
      <c r="I14" s="3"/>
      <c r="J14" s="3"/>
      <c r="K14" s="8"/>
      <c r="L14" s="3"/>
    </row>
    <row r="15" spans="1:12" ht="14.25" x14ac:dyDescent="0.25">
      <c r="A15" s="8"/>
      <c r="B15" s="29" t="s">
        <v>38</v>
      </c>
      <c r="C15" s="15"/>
      <c r="D15" s="44">
        <v>0.1</v>
      </c>
      <c r="E15" s="3"/>
      <c r="F15" s="8"/>
      <c r="G15" s="3"/>
      <c r="H15" s="3"/>
      <c r="I15" s="3"/>
      <c r="J15" s="3"/>
      <c r="K15" s="8"/>
      <c r="L15" s="3" t="s">
        <v>8</v>
      </c>
    </row>
    <row r="16" spans="1:12" ht="14.25" x14ac:dyDescent="0.25">
      <c r="A16" s="8"/>
      <c r="B16" s="31" t="s">
        <v>29</v>
      </c>
      <c r="C16" s="17">
        <v>0.95</v>
      </c>
      <c r="D16" s="18"/>
      <c r="E16" s="3"/>
      <c r="F16" s="8"/>
      <c r="G16" s="3"/>
      <c r="H16" s="3"/>
      <c r="I16" s="3"/>
      <c r="J16" s="3"/>
      <c r="K16" s="8"/>
      <c r="L16" s="3" t="s">
        <v>30</v>
      </c>
    </row>
    <row r="17" spans="1:12" ht="14.25" x14ac:dyDescent="0.25">
      <c r="A17" s="8"/>
      <c r="B17" s="31"/>
      <c r="C17" s="17"/>
      <c r="D17" s="18"/>
      <c r="E17" s="3"/>
      <c r="F17" s="8"/>
      <c r="G17" s="3"/>
      <c r="H17" s="3"/>
      <c r="I17" s="3"/>
      <c r="J17" s="3"/>
      <c r="K17" s="8"/>
      <c r="L17" s="3"/>
    </row>
    <row r="18" spans="1:12" ht="14.25" x14ac:dyDescent="0.25">
      <c r="A18" s="8"/>
      <c r="B18" s="29" t="s">
        <v>9</v>
      </c>
      <c r="C18" s="15"/>
      <c r="D18" s="45">
        <v>1</v>
      </c>
      <c r="E18" s="37">
        <f>INDEX(CHOOSE(Capacity, CAPEX_Table_Small, CAPEX_Table_Medium, CAPEX_Table_Large), Production_Locations, CAPEX)</f>
        <v>600</v>
      </c>
      <c r="F18" s="39"/>
      <c r="G18" s="3"/>
      <c r="H18" s="3"/>
      <c r="I18" s="3"/>
      <c r="J18" s="3"/>
      <c r="K18" s="8"/>
      <c r="L18" s="3"/>
    </row>
    <row r="19" spans="1:12" ht="14.25" x14ac:dyDescent="0.25">
      <c r="A19" s="8"/>
      <c r="B19" s="30"/>
      <c r="C19" s="15"/>
      <c r="D19" s="8"/>
      <c r="E19" s="3"/>
      <c r="F19" s="100" t="s">
        <v>48</v>
      </c>
      <c r="G19" s="46" t="s">
        <v>36</v>
      </c>
      <c r="H19" s="50" t="s">
        <v>25</v>
      </c>
      <c r="I19" s="51" t="s">
        <v>26</v>
      </c>
      <c r="J19" s="51" t="s">
        <v>27</v>
      </c>
      <c r="K19" s="19"/>
      <c r="L19" s="3"/>
    </row>
    <row r="20" spans="1:12" ht="14.25" x14ac:dyDescent="0.25">
      <c r="A20" s="8"/>
      <c r="B20" s="30"/>
      <c r="C20" s="15"/>
      <c r="D20" s="8"/>
      <c r="E20" s="3"/>
      <c r="F20" s="112" t="s">
        <v>32</v>
      </c>
      <c r="G20" s="47">
        <v>1</v>
      </c>
      <c r="H20" s="48">
        <v>600</v>
      </c>
      <c r="I20" s="48">
        <v>750</v>
      </c>
      <c r="J20" s="48">
        <v>900</v>
      </c>
      <c r="K20" s="20"/>
      <c r="L20" s="3"/>
    </row>
    <row r="21" spans="1:12" ht="14.25" x14ac:dyDescent="0.25">
      <c r="A21" s="8"/>
      <c r="B21" s="29"/>
      <c r="C21" s="15"/>
      <c r="D21" s="21"/>
      <c r="E21" s="34"/>
      <c r="F21" s="111"/>
      <c r="G21" s="94">
        <v>2</v>
      </c>
      <c r="H21" s="95">
        <f>1.4*H20</f>
        <v>840</v>
      </c>
      <c r="I21" s="95">
        <f t="shared" ref="I21:J21" si="0">1.4*I20</f>
        <v>1050</v>
      </c>
      <c r="J21" s="95">
        <f t="shared" si="0"/>
        <v>1260</v>
      </c>
      <c r="K21" s="20"/>
      <c r="L21" s="3"/>
    </row>
    <row r="22" spans="1:12" ht="14.25" x14ac:dyDescent="0.25">
      <c r="A22" s="8"/>
      <c r="B22" s="30"/>
      <c r="C22" s="22"/>
      <c r="D22" s="8"/>
      <c r="E22" s="3"/>
      <c r="F22" s="111" t="s">
        <v>46</v>
      </c>
      <c r="G22" s="96">
        <v>1</v>
      </c>
      <c r="H22" s="97">
        <f t="shared" ref="H22:J23" si="1">1.2*H20</f>
        <v>720</v>
      </c>
      <c r="I22" s="97">
        <f t="shared" si="1"/>
        <v>900</v>
      </c>
      <c r="J22" s="97">
        <f t="shared" si="1"/>
        <v>1080</v>
      </c>
      <c r="K22" s="20"/>
      <c r="L22" s="3"/>
    </row>
    <row r="23" spans="1:12" ht="14.25" x14ac:dyDescent="0.25">
      <c r="A23" s="8"/>
      <c r="B23" s="30"/>
      <c r="C23" s="22"/>
      <c r="D23" s="8"/>
      <c r="E23" s="3"/>
      <c r="F23" s="111"/>
      <c r="G23" s="94">
        <v>2</v>
      </c>
      <c r="H23" s="95">
        <f t="shared" si="1"/>
        <v>1008</v>
      </c>
      <c r="I23" s="95">
        <f t="shared" si="1"/>
        <v>1260</v>
      </c>
      <c r="J23" s="95">
        <f t="shared" si="1"/>
        <v>1512</v>
      </c>
      <c r="K23" s="20"/>
      <c r="L23" s="3"/>
    </row>
    <row r="24" spans="1:12" ht="14.25" x14ac:dyDescent="0.25">
      <c r="A24" s="8"/>
      <c r="B24" s="30"/>
      <c r="C24" s="23"/>
      <c r="D24" s="5"/>
      <c r="E24" s="10"/>
      <c r="F24" s="111" t="s">
        <v>47</v>
      </c>
      <c r="G24" s="47">
        <v>1</v>
      </c>
      <c r="H24" s="48">
        <f t="shared" ref="H24:J25" si="2">1.3*H22</f>
        <v>936</v>
      </c>
      <c r="I24" s="48">
        <f t="shared" si="2"/>
        <v>1170</v>
      </c>
      <c r="J24" s="48">
        <f t="shared" si="2"/>
        <v>1404</v>
      </c>
      <c r="K24" s="20"/>
      <c r="L24" s="3"/>
    </row>
    <row r="25" spans="1:12" ht="14.25" x14ac:dyDescent="0.25">
      <c r="A25" s="8"/>
      <c r="B25" s="30"/>
      <c r="C25" s="23"/>
      <c r="D25" s="5"/>
      <c r="E25" s="10"/>
      <c r="F25" s="113"/>
      <c r="G25" s="47">
        <v>2</v>
      </c>
      <c r="H25" s="48">
        <f t="shared" si="2"/>
        <v>1310.4000000000001</v>
      </c>
      <c r="I25" s="48">
        <f t="shared" si="2"/>
        <v>1638</v>
      </c>
      <c r="J25" s="48">
        <f t="shared" si="2"/>
        <v>1965.6000000000001</v>
      </c>
      <c r="K25" s="20"/>
      <c r="L25" s="3"/>
    </row>
    <row r="26" spans="1:12" ht="14.25" x14ac:dyDescent="0.25">
      <c r="A26" s="8"/>
      <c r="B26" s="29" t="s">
        <v>14</v>
      </c>
      <c r="C26" s="8"/>
      <c r="D26" s="44">
        <v>1</v>
      </c>
      <c r="E26" s="35"/>
      <c r="F26" s="8"/>
      <c r="G26" s="3"/>
      <c r="H26" s="3"/>
      <c r="I26" s="3"/>
      <c r="J26" s="3"/>
      <c r="K26" s="8"/>
      <c r="L26" s="52" t="s">
        <v>61</v>
      </c>
    </row>
    <row r="27" spans="1:12" ht="14.25" x14ac:dyDescent="0.25">
      <c r="A27" s="8"/>
      <c r="B27" s="29" t="s">
        <v>55</v>
      </c>
      <c r="C27" s="8"/>
      <c r="D27" s="44">
        <v>0.05</v>
      </c>
      <c r="E27" s="36"/>
      <c r="F27" s="8"/>
      <c r="G27" s="3"/>
      <c r="H27" s="3"/>
      <c r="I27" s="3"/>
      <c r="J27" s="3"/>
      <c r="K27" s="8"/>
      <c r="L27" s="3" t="s">
        <v>64</v>
      </c>
    </row>
    <row r="28" spans="1:12" ht="14.25" x14ac:dyDescent="0.25">
      <c r="A28" s="8"/>
      <c r="B28" s="29"/>
      <c r="C28" s="8"/>
      <c r="D28" s="24"/>
      <c r="E28" s="36"/>
      <c r="F28" s="8"/>
      <c r="G28" s="3"/>
      <c r="H28" s="3"/>
      <c r="I28" s="3"/>
      <c r="J28" s="3"/>
      <c r="K28" s="8"/>
      <c r="L28" s="3"/>
    </row>
    <row r="29" spans="1:12" ht="14.25" x14ac:dyDescent="0.25">
      <c r="A29" s="8"/>
      <c r="B29" s="32" t="s">
        <v>39</v>
      </c>
      <c r="C29" s="25"/>
      <c r="D29" s="27">
        <v>0.1</v>
      </c>
      <c r="E29" s="35"/>
      <c r="F29" s="8"/>
      <c r="G29" s="3"/>
      <c r="H29" s="3"/>
      <c r="I29" s="3"/>
      <c r="J29" s="3"/>
      <c r="K29" s="8"/>
      <c r="L29" s="3"/>
    </row>
    <row r="30" spans="1:12" ht="14.25" x14ac:dyDescent="0.25">
      <c r="A30" s="8"/>
      <c r="B30" s="32" t="s">
        <v>42</v>
      </c>
      <c r="C30" s="26"/>
      <c r="D30" s="27">
        <v>0.25</v>
      </c>
      <c r="E30" s="35"/>
      <c r="F30" s="8"/>
      <c r="G30" s="3"/>
      <c r="H30" s="3"/>
      <c r="I30" s="3"/>
      <c r="J30" s="3"/>
      <c r="K30" s="8"/>
      <c r="L30" s="3"/>
    </row>
    <row r="31" spans="1:12" ht="14.25" x14ac:dyDescent="0.25">
      <c r="A31" s="8"/>
      <c r="B31" s="32"/>
      <c r="C31" s="26"/>
      <c r="D31" s="28"/>
      <c r="E31" s="35"/>
      <c r="F31" s="8"/>
      <c r="G31" s="3"/>
      <c r="H31" s="3"/>
      <c r="I31" s="3"/>
      <c r="J31" s="3"/>
      <c r="K31" s="8"/>
      <c r="L31" s="3"/>
    </row>
    <row r="32" spans="1:12" x14ac:dyDescent="0.2">
      <c r="A32" s="8"/>
      <c r="B32" s="103" t="s">
        <v>50</v>
      </c>
      <c r="C32" s="26"/>
      <c r="D32" s="28"/>
      <c r="E32" s="35"/>
      <c r="F32" s="8"/>
      <c r="G32" s="3"/>
      <c r="H32" s="3"/>
      <c r="I32" s="3"/>
      <c r="J32" s="3"/>
      <c r="K32" s="8"/>
      <c r="L32" s="3"/>
    </row>
    <row r="33" spans="1:12" x14ac:dyDescent="0.2">
      <c r="A33" s="8"/>
      <c r="B33" s="104"/>
      <c r="C33" s="25"/>
      <c r="D33" s="5"/>
      <c r="E33" s="10"/>
      <c r="F33" s="8"/>
      <c r="G33" s="3"/>
      <c r="H33" s="3"/>
      <c r="I33" s="3"/>
      <c r="J33" s="3"/>
      <c r="K33" s="8"/>
      <c r="L33" s="33"/>
    </row>
    <row r="34" spans="1:12" x14ac:dyDescent="0.2">
      <c r="A34" s="8"/>
      <c r="B34" s="40"/>
      <c r="C34" s="25"/>
      <c r="D34" s="5"/>
      <c r="E34" s="10"/>
      <c r="F34" s="8"/>
      <c r="G34" s="3"/>
      <c r="H34" s="3"/>
      <c r="I34" s="3"/>
      <c r="J34" s="3"/>
      <c r="K34" s="8"/>
      <c r="L34" s="33"/>
    </row>
    <row r="35" spans="1:12" ht="16.5" x14ac:dyDescent="0.3">
      <c r="A35" s="8"/>
      <c r="B35" s="41" t="s">
        <v>16</v>
      </c>
      <c r="C35" s="4"/>
      <c r="D35" s="92">
        <f>'Cash Flow'!D41</f>
        <v>599.97310637479393</v>
      </c>
      <c r="E35" s="37"/>
      <c r="F35" s="8"/>
      <c r="G35" s="3"/>
      <c r="H35" s="3"/>
      <c r="I35" s="3"/>
      <c r="J35" s="3"/>
      <c r="K35" s="8"/>
      <c r="L35" s="33"/>
    </row>
    <row r="36" spans="1:12" s="8" customFormat="1" ht="18" customHeight="1" x14ac:dyDescent="0.2">
      <c r="D36" s="5"/>
      <c r="E36" s="5"/>
      <c r="L36" s="12"/>
    </row>
    <row r="37" spans="1:12" ht="21" hidden="1" customHeight="1" x14ac:dyDescent="0.2">
      <c r="G37" s="3"/>
      <c r="H37" s="3"/>
      <c r="I37" s="3"/>
      <c r="J37" s="3"/>
      <c r="L37" s="11"/>
    </row>
    <row r="38" spans="1:12" ht="13.5" hidden="1" customHeight="1" x14ac:dyDescent="0.2">
      <c r="G38" s="3"/>
      <c r="H38" s="3"/>
      <c r="I38" s="3"/>
      <c r="J38" s="3"/>
      <c r="L38" s="11"/>
    </row>
    <row r="39" spans="1:12" ht="15" hidden="1" customHeight="1" x14ac:dyDescent="0.2">
      <c r="G39" s="3"/>
      <c r="H39" s="3"/>
      <c r="I39" s="3"/>
      <c r="J39" s="3"/>
      <c r="L39" s="11"/>
    </row>
    <row r="40" spans="1:12" s="8" customFormat="1" hidden="1" x14ac:dyDescent="0.2">
      <c r="B40" s="3"/>
      <c r="D40" s="5"/>
      <c r="E40" s="10"/>
      <c r="L40" s="33"/>
    </row>
    <row r="41" spans="1:12" hidden="1" x14ac:dyDescent="0.2">
      <c r="A41" s="8"/>
      <c r="B41" s="8"/>
      <c r="C41" s="8"/>
      <c r="D41" s="5"/>
      <c r="E41" s="5"/>
      <c r="F41" s="8"/>
      <c r="G41" s="8"/>
      <c r="H41" s="8"/>
      <c r="I41" s="8"/>
      <c r="J41" s="8"/>
      <c r="K41" s="8"/>
      <c r="L41" s="8"/>
    </row>
    <row r="42" spans="1:12" hidden="1" x14ac:dyDescent="0.2">
      <c r="A42" s="8"/>
      <c r="B42" s="8"/>
      <c r="C42" s="8"/>
      <c r="D42" s="5"/>
      <c r="E42" s="5"/>
      <c r="F42" s="8"/>
      <c r="G42" s="8"/>
      <c r="H42" s="8"/>
      <c r="I42" s="8"/>
      <c r="J42" s="8"/>
      <c r="K42" s="8"/>
      <c r="L42" s="8"/>
    </row>
    <row r="43" spans="1:12" hidden="1" x14ac:dyDescent="0.2"/>
    <row r="44" spans="1:12" hidden="1" x14ac:dyDescent="0.2"/>
    <row r="45" spans="1:12" hidden="1" x14ac:dyDescent="0.2"/>
    <row r="46" spans="1:12" hidden="1" x14ac:dyDescent="0.2"/>
    <row r="47" spans="1:12" hidden="1" x14ac:dyDescent="0.2"/>
    <row r="48" spans="1:12" hidden="1" x14ac:dyDescent="0.2"/>
    <row r="49" hidden="1" x14ac:dyDescent="0.2"/>
    <row r="50" hidden="1" x14ac:dyDescent="0.2"/>
  </sheetData>
  <mergeCells count="8">
    <mergeCell ref="L2:L3"/>
    <mergeCell ref="B2:B3"/>
    <mergeCell ref="B32:B33"/>
    <mergeCell ref="D2:E3"/>
    <mergeCell ref="G2:J3"/>
    <mergeCell ref="F22:F23"/>
    <mergeCell ref="F20:F21"/>
    <mergeCell ref="F24:F2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"/>
  <sheetViews>
    <sheetView zoomScaleNormal="100" workbookViewId="0">
      <selection activeCell="D29" sqref="D29"/>
    </sheetView>
  </sheetViews>
  <sheetFormatPr defaultColWidth="0" defaultRowHeight="12" zeroHeight="1" x14ac:dyDescent="0.2"/>
  <cols>
    <col min="1" max="1" width="4" style="8" customWidth="1"/>
    <col min="2" max="2" width="36.85546875" style="8" customWidth="1"/>
    <col min="3" max="3" width="7.28515625" style="15" customWidth="1"/>
    <col min="4" max="23" width="11.7109375" style="8" customWidth="1"/>
    <col min="24" max="24" width="5" style="8" customWidth="1"/>
    <col min="25" max="16384" width="9.140625" style="8" hidden="1"/>
  </cols>
  <sheetData>
    <row r="1" spans="2:24" x14ac:dyDescent="0.2"/>
    <row r="2" spans="2:24" ht="24.75" customHeight="1" x14ac:dyDescent="0.25">
      <c r="C2" s="83" t="s">
        <v>60</v>
      </c>
      <c r="D2" s="64">
        <v>2017</v>
      </c>
      <c r="E2" s="64">
        <f>D2+1</f>
        <v>2018</v>
      </c>
      <c r="F2" s="64">
        <f t="shared" ref="F2:W2" si="0">E2+1</f>
        <v>2019</v>
      </c>
      <c r="G2" s="64">
        <f t="shared" si="0"/>
        <v>2020</v>
      </c>
      <c r="H2" s="64">
        <f t="shared" si="0"/>
        <v>2021</v>
      </c>
      <c r="I2" s="64">
        <f t="shared" si="0"/>
        <v>2022</v>
      </c>
      <c r="J2" s="64">
        <f t="shared" si="0"/>
        <v>2023</v>
      </c>
      <c r="K2" s="64">
        <f t="shared" si="0"/>
        <v>2024</v>
      </c>
      <c r="L2" s="64">
        <f t="shared" si="0"/>
        <v>2025</v>
      </c>
      <c r="M2" s="64">
        <f t="shared" si="0"/>
        <v>2026</v>
      </c>
      <c r="N2" s="64">
        <f t="shared" si="0"/>
        <v>2027</v>
      </c>
      <c r="O2" s="64">
        <f t="shared" si="0"/>
        <v>2028</v>
      </c>
      <c r="P2" s="64">
        <f t="shared" si="0"/>
        <v>2029</v>
      </c>
      <c r="Q2" s="64">
        <f t="shared" si="0"/>
        <v>2030</v>
      </c>
      <c r="R2" s="64">
        <f t="shared" si="0"/>
        <v>2031</v>
      </c>
      <c r="S2" s="64">
        <f t="shared" si="0"/>
        <v>2032</v>
      </c>
      <c r="T2" s="64">
        <f t="shared" si="0"/>
        <v>2033</v>
      </c>
      <c r="U2" s="64">
        <f t="shared" si="0"/>
        <v>2034</v>
      </c>
      <c r="V2" s="64">
        <f t="shared" si="0"/>
        <v>2035</v>
      </c>
      <c r="W2" s="64">
        <f t="shared" si="0"/>
        <v>2036</v>
      </c>
    </row>
    <row r="3" spans="2:24" x14ac:dyDescent="0.2"/>
    <row r="4" spans="2:24" ht="14.25" x14ac:dyDescent="0.25">
      <c r="B4" s="74" t="s">
        <v>1</v>
      </c>
    </row>
    <row r="5" spans="2:24" x14ac:dyDescent="0.2">
      <c r="B5" s="72" t="s">
        <v>0</v>
      </c>
    </row>
    <row r="6" spans="2:24" x14ac:dyDescent="0.2">
      <c r="B6" s="26" t="s">
        <v>18</v>
      </c>
      <c r="C6" s="75">
        <f>Demand_Dev</f>
        <v>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2:24" x14ac:dyDescent="0.2">
      <c r="B7" s="26" t="s">
        <v>2</v>
      </c>
      <c r="C7" s="76">
        <f>Demand_Grw_Dev</f>
        <v>0.06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2:24" x14ac:dyDescent="0.2">
      <c r="B8" s="26" t="s">
        <v>19</v>
      </c>
      <c r="C8" s="75"/>
      <c r="D8" s="66">
        <f>C6</f>
        <v>1</v>
      </c>
      <c r="E8" s="66">
        <f>D8*(1+C7)</f>
        <v>1.06</v>
      </c>
      <c r="F8" s="66">
        <f>E8*(1+C7)</f>
        <v>1.1236000000000002</v>
      </c>
      <c r="G8" s="66">
        <f>F8*(1+C7)</f>
        <v>1.1910160000000003</v>
      </c>
      <c r="H8" s="66">
        <f>G8*(1+C7)</f>
        <v>1.2624769600000003</v>
      </c>
      <c r="I8" s="66">
        <f>H8*(1+C7)</f>
        <v>1.3382255776000005</v>
      </c>
      <c r="J8" s="66">
        <f>I8*(1+C7)</f>
        <v>1.4185191122560006</v>
      </c>
      <c r="K8" s="66">
        <f>J8*(1+C7)</f>
        <v>1.5036302589913606</v>
      </c>
      <c r="L8" s="66">
        <f>K8*(1+C7)</f>
        <v>1.5938480745308423</v>
      </c>
      <c r="M8" s="66">
        <f>L8*(1+C7)</f>
        <v>1.6894789590026928</v>
      </c>
      <c r="N8" s="66">
        <f>M8*(1+C7)</f>
        <v>1.7908476965428546</v>
      </c>
      <c r="O8" s="66">
        <f>N8*(1+C7)</f>
        <v>1.8982985583354259</v>
      </c>
      <c r="P8" s="66">
        <f>O8*(1+C7)</f>
        <v>2.0121964718355514</v>
      </c>
      <c r="Q8" s="66">
        <f>P8*(1+C7)</f>
        <v>2.1329282601456847</v>
      </c>
      <c r="R8" s="66">
        <f>Q8*(1+C7)</f>
        <v>2.2609039557544257</v>
      </c>
      <c r="S8" s="66">
        <f>R8*(1+C7)</f>
        <v>2.3965581930996915</v>
      </c>
      <c r="T8" s="66">
        <f>S8*(1+C7)</f>
        <v>2.5403516846856733</v>
      </c>
      <c r="U8" s="66">
        <f>T8*(1+C7)</f>
        <v>2.692772785766814</v>
      </c>
      <c r="V8" s="66">
        <f>U8*(1+C7)</f>
        <v>2.8543391529128228</v>
      </c>
      <c r="W8" s="66">
        <f>V8*(1+C7)</f>
        <v>3.0255995020875925</v>
      </c>
      <c r="X8" s="53"/>
    </row>
    <row r="9" spans="2:24" x14ac:dyDescent="0.2">
      <c r="C9" s="75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</row>
    <row r="10" spans="2:24" x14ac:dyDescent="0.2">
      <c r="B10" s="72" t="s">
        <v>3</v>
      </c>
      <c r="C10" s="75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</row>
    <row r="11" spans="2:24" x14ac:dyDescent="0.2">
      <c r="B11" s="26" t="s">
        <v>20</v>
      </c>
      <c r="C11" s="75">
        <f>Demand_Em</f>
        <v>0.75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</row>
    <row r="12" spans="2:24" x14ac:dyDescent="0.2">
      <c r="B12" s="26" t="s">
        <v>2</v>
      </c>
      <c r="C12" s="77">
        <f>Demand_Grw_Em</f>
        <v>0.1</v>
      </c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</row>
    <row r="13" spans="2:24" x14ac:dyDescent="0.2">
      <c r="B13" s="26" t="s">
        <v>21</v>
      </c>
      <c r="C13" s="75"/>
      <c r="D13" s="66">
        <f>C11</f>
        <v>0.75</v>
      </c>
      <c r="E13" s="66">
        <f>D$13*(1+C$12)</f>
        <v>0.82500000000000007</v>
      </c>
      <c r="F13" s="66">
        <f>E$13*(1+C$12)</f>
        <v>0.9075000000000002</v>
      </c>
      <c r="G13" s="66">
        <f>F$13*(1+C$12)</f>
        <v>0.9982500000000003</v>
      </c>
      <c r="H13" s="66">
        <f>G$13*(1+C$12)</f>
        <v>1.0980750000000004</v>
      </c>
      <c r="I13" s="66">
        <f>H$13*(1+C$12)</f>
        <v>1.2078825000000004</v>
      </c>
      <c r="J13" s="66">
        <f>I$13*(1+C$12)</f>
        <v>1.3286707500000006</v>
      </c>
      <c r="K13" s="66">
        <f>J$13*(1+C$12)</f>
        <v>1.4615378250000008</v>
      </c>
      <c r="L13" s="66">
        <f>K$13*(1+C$12)</f>
        <v>1.607691607500001</v>
      </c>
      <c r="M13" s="66">
        <f>L$13*(1+C$12)</f>
        <v>1.7684607682500011</v>
      </c>
      <c r="N13" s="66">
        <f>M$13*(1+C$12)</f>
        <v>1.9453068450750013</v>
      </c>
      <c r="O13" s="66">
        <f>N$13*(1+C$12)</f>
        <v>2.1398375295825014</v>
      </c>
      <c r="P13" s="66">
        <f>O$13*(1+C$12)</f>
        <v>2.3538212825407516</v>
      </c>
      <c r="Q13" s="66">
        <f>P$13*(1+C$12)</f>
        <v>2.589203410794827</v>
      </c>
      <c r="R13" s="66">
        <f>Q$13*(1+C$12)</f>
        <v>2.8481237518743101</v>
      </c>
      <c r="S13" s="66">
        <f>R$13*(1+C$12)</f>
        <v>3.1329361270617415</v>
      </c>
      <c r="T13" s="66">
        <f>S$13*(1+C$12)</f>
        <v>3.446229739767916</v>
      </c>
      <c r="U13" s="66">
        <f>T$13*(1+C$12)</f>
        <v>3.7908527137447079</v>
      </c>
      <c r="V13" s="66">
        <f>U$13*(1+C$12)</f>
        <v>4.1699379851191791</v>
      </c>
      <c r="W13" s="66">
        <f>V$13*(1+C$12)</f>
        <v>4.5869317836310977</v>
      </c>
      <c r="X13" s="53"/>
    </row>
    <row r="14" spans="2:24" x14ac:dyDescent="0.2">
      <c r="C14" s="75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53"/>
    </row>
    <row r="15" spans="2:24" x14ac:dyDescent="0.2">
      <c r="B15" s="4" t="s">
        <v>22</v>
      </c>
      <c r="C15" s="75"/>
      <c r="D15" s="90">
        <f t="shared" ref="D15:W15" si="1">(D8+D13)</f>
        <v>1.75</v>
      </c>
      <c r="E15" s="90">
        <f t="shared" si="1"/>
        <v>1.8850000000000002</v>
      </c>
      <c r="F15" s="90">
        <f t="shared" si="1"/>
        <v>2.0311000000000003</v>
      </c>
      <c r="G15" s="90">
        <f t="shared" si="1"/>
        <v>2.1892660000000008</v>
      </c>
      <c r="H15" s="90">
        <f t="shared" si="1"/>
        <v>2.3605519600000004</v>
      </c>
      <c r="I15" s="90">
        <f t="shared" si="1"/>
        <v>2.5461080776000009</v>
      </c>
      <c r="J15" s="90">
        <f t="shared" si="1"/>
        <v>2.7471898622560014</v>
      </c>
      <c r="K15" s="90">
        <f t="shared" si="1"/>
        <v>2.9651680839913617</v>
      </c>
      <c r="L15" s="90">
        <f t="shared" si="1"/>
        <v>3.2015396820308433</v>
      </c>
      <c r="M15" s="90">
        <f t="shared" si="1"/>
        <v>3.4579397272526942</v>
      </c>
      <c r="N15" s="90">
        <f t="shared" si="1"/>
        <v>3.7361545416178559</v>
      </c>
      <c r="O15" s="90">
        <f t="shared" si="1"/>
        <v>4.0381360879179269</v>
      </c>
      <c r="P15" s="90">
        <f t="shared" si="1"/>
        <v>4.366017754376303</v>
      </c>
      <c r="Q15" s="90">
        <f t="shared" si="1"/>
        <v>4.7221316709405112</v>
      </c>
      <c r="R15" s="90">
        <f t="shared" si="1"/>
        <v>5.1090277076287354</v>
      </c>
      <c r="S15" s="90">
        <f t="shared" si="1"/>
        <v>5.5294943201614331</v>
      </c>
      <c r="T15" s="90">
        <f t="shared" si="1"/>
        <v>5.9865814244535898</v>
      </c>
      <c r="U15" s="90">
        <f t="shared" si="1"/>
        <v>6.4836254995115219</v>
      </c>
      <c r="V15" s="90">
        <f t="shared" si="1"/>
        <v>7.0242771380320015</v>
      </c>
      <c r="W15" s="90">
        <f t="shared" si="1"/>
        <v>7.6125312857186902</v>
      </c>
      <c r="X15" s="53"/>
    </row>
    <row r="16" spans="2:24" x14ac:dyDescent="0.2">
      <c r="B16" s="4"/>
      <c r="C16" s="75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53"/>
    </row>
    <row r="17" spans="2:24" ht="14.25" x14ac:dyDescent="0.25">
      <c r="B17" s="74" t="s">
        <v>4</v>
      </c>
      <c r="C17" s="7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53"/>
    </row>
    <row r="18" spans="2:24" x14ac:dyDescent="0.2">
      <c r="B18" s="25" t="s">
        <v>4</v>
      </c>
      <c r="C18" s="75"/>
      <c r="D18" s="66">
        <f>Capacity_Value</f>
        <v>3</v>
      </c>
      <c r="E18" s="66">
        <f t="shared" ref="E18:W18" si="2">Capacity_Value</f>
        <v>3</v>
      </c>
      <c r="F18" s="66">
        <f t="shared" si="2"/>
        <v>3</v>
      </c>
      <c r="G18" s="66">
        <f t="shared" si="2"/>
        <v>3</v>
      </c>
      <c r="H18" s="66">
        <f t="shared" si="2"/>
        <v>3</v>
      </c>
      <c r="I18" s="66">
        <f t="shared" si="2"/>
        <v>3</v>
      </c>
      <c r="J18" s="66">
        <f t="shared" si="2"/>
        <v>3</v>
      </c>
      <c r="K18" s="66">
        <f t="shared" si="2"/>
        <v>3</v>
      </c>
      <c r="L18" s="66">
        <f t="shared" si="2"/>
        <v>3</v>
      </c>
      <c r="M18" s="66">
        <f t="shared" si="2"/>
        <v>3</v>
      </c>
      <c r="N18" s="66">
        <f t="shared" si="2"/>
        <v>3</v>
      </c>
      <c r="O18" s="66">
        <f t="shared" si="2"/>
        <v>3</v>
      </c>
      <c r="P18" s="66">
        <f t="shared" si="2"/>
        <v>3</v>
      </c>
      <c r="Q18" s="66">
        <f t="shared" si="2"/>
        <v>3</v>
      </c>
      <c r="R18" s="66">
        <f t="shared" si="2"/>
        <v>3</v>
      </c>
      <c r="S18" s="66">
        <f t="shared" si="2"/>
        <v>3</v>
      </c>
      <c r="T18" s="66">
        <f t="shared" si="2"/>
        <v>3</v>
      </c>
      <c r="U18" s="66">
        <f t="shared" si="2"/>
        <v>3</v>
      </c>
      <c r="V18" s="66">
        <f t="shared" si="2"/>
        <v>3</v>
      </c>
      <c r="W18" s="66">
        <f t="shared" si="2"/>
        <v>3</v>
      </c>
      <c r="X18" s="53"/>
    </row>
    <row r="19" spans="2:24" x14ac:dyDescent="0.2">
      <c r="B19" s="25" t="s">
        <v>54</v>
      </c>
      <c r="C19" s="75"/>
      <c r="D19" s="66">
        <f t="shared" ref="D19:W19" si="3">IF(Production_Locations=1,Supply_Disruption,1)*MIN(D18,D15)</f>
        <v>1.75</v>
      </c>
      <c r="E19" s="66">
        <f t="shared" si="3"/>
        <v>1.8850000000000002</v>
      </c>
      <c r="F19" s="66">
        <f t="shared" si="3"/>
        <v>2.0311000000000003</v>
      </c>
      <c r="G19" s="66">
        <f t="shared" si="3"/>
        <v>2.1892660000000008</v>
      </c>
      <c r="H19" s="66">
        <f t="shared" si="3"/>
        <v>2.3605519600000004</v>
      </c>
      <c r="I19" s="66">
        <f t="shared" si="3"/>
        <v>2.5461080776000009</v>
      </c>
      <c r="J19" s="66">
        <f t="shared" si="3"/>
        <v>2.7471898622560014</v>
      </c>
      <c r="K19" s="66">
        <f t="shared" si="3"/>
        <v>2.9651680839913617</v>
      </c>
      <c r="L19" s="66">
        <f t="shared" si="3"/>
        <v>3</v>
      </c>
      <c r="M19" s="66">
        <f t="shared" si="3"/>
        <v>3</v>
      </c>
      <c r="N19" s="66">
        <f t="shared" si="3"/>
        <v>3</v>
      </c>
      <c r="O19" s="66">
        <f t="shared" si="3"/>
        <v>3</v>
      </c>
      <c r="P19" s="66">
        <f t="shared" si="3"/>
        <v>3</v>
      </c>
      <c r="Q19" s="66">
        <f t="shared" si="3"/>
        <v>3</v>
      </c>
      <c r="R19" s="66">
        <f t="shared" si="3"/>
        <v>3</v>
      </c>
      <c r="S19" s="66">
        <f t="shared" si="3"/>
        <v>3</v>
      </c>
      <c r="T19" s="66">
        <f t="shared" si="3"/>
        <v>3</v>
      </c>
      <c r="U19" s="66">
        <f t="shared" si="3"/>
        <v>3</v>
      </c>
      <c r="V19" s="66">
        <f t="shared" si="3"/>
        <v>3</v>
      </c>
      <c r="W19" s="66">
        <f t="shared" si="3"/>
        <v>3</v>
      </c>
      <c r="X19" s="53"/>
    </row>
    <row r="20" spans="2:24" x14ac:dyDescent="0.2">
      <c r="B20" s="25"/>
      <c r="C20" s="7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53"/>
    </row>
    <row r="21" spans="2:24" x14ac:dyDescent="0.2">
      <c r="B21" s="8" t="s">
        <v>6</v>
      </c>
      <c r="C21" s="78">
        <f>Price</f>
        <v>75</v>
      </c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54"/>
    </row>
    <row r="22" spans="2:24" x14ac:dyDescent="0.2">
      <c r="C22" s="78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54"/>
    </row>
    <row r="23" spans="2:24" x14ac:dyDescent="0.2">
      <c r="B23" s="8" t="s">
        <v>62</v>
      </c>
      <c r="C23" s="78"/>
      <c r="D23" s="89">
        <f>D8*$C$21</f>
        <v>75</v>
      </c>
      <c r="E23" s="89">
        <f>E8*$C$21</f>
        <v>79.5</v>
      </c>
      <c r="F23" s="89">
        <f t="shared" ref="F23:W23" si="4">F8*$C$21</f>
        <v>84.27000000000001</v>
      </c>
      <c r="G23" s="89">
        <f t="shared" si="4"/>
        <v>89.326200000000028</v>
      </c>
      <c r="H23" s="89">
        <f t="shared" si="4"/>
        <v>94.685772000000028</v>
      </c>
      <c r="I23" s="89">
        <f t="shared" si="4"/>
        <v>100.36691832000004</v>
      </c>
      <c r="J23" s="89">
        <f t="shared" si="4"/>
        <v>106.38893341920004</v>
      </c>
      <c r="K23" s="89">
        <f t="shared" si="4"/>
        <v>112.77226942435205</v>
      </c>
      <c r="L23" s="89">
        <f t="shared" si="4"/>
        <v>119.53860558981317</v>
      </c>
      <c r="M23" s="89">
        <f t="shared" si="4"/>
        <v>126.71092192520196</v>
      </c>
      <c r="N23" s="89">
        <f t="shared" si="4"/>
        <v>134.3135772407141</v>
      </c>
      <c r="O23" s="89">
        <f t="shared" si="4"/>
        <v>142.37239187515695</v>
      </c>
      <c r="P23" s="89">
        <f t="shared" si="4"/>
        <v>150.91473538766635</v>
      </c>
      <c r="Q23" s="89">
        <f t="shared" si="4"/>
        <v>159.96961951092635</v>
      </c>
      <c r="R23" s="89">
        <f t="shared" si="4"/>
        <v>169.56779668158194</v>
      </c>
      <c r="S23" s="89">
        <f t="shared" si="4"/>
        <v>179.74186448247687</v>
      </c>
      <c r="T23" s="89">
        <f t="shared" si="4"/>
        <v>190.52637635142548</v>
      </c>
      <c r="U23" s="89">
        <f t="shared" si="4"/>
        <v>201.95795893251105</v>
      </c>
      <c r="V23" s="89">
        <f t="shared" si="4"/>
        <v>214.0754364684617</v>
      </c>
      <c r="W23" s="89">
        <f t="shared" si="4"/>
        <v>226.91996265656945</v>
      </c>
      <c r="X23" s="54"/>
    </row>
    <row r="24" spans="2:24" x14ac:dyDescent="0.2">
      <c r="B24" s="8" t="s">
        <v>63</v>
      </c>
      <c r="C24" s="78"/>
      <c r="D24" s="89">
        <f>(D19-D8)*$C$21</f>
        <v>56.25</v>
      </c>
      <c r="E24" s="89">
        <f t="shared" ref="E24:W24" si="5">(E19-E8)*$C$21</f>
        <v>61.875000000000014</v>
      </c>
      <c r="F24" s="89">
        <f t="shared" si="5"/>
        <v>68.062500000000014</v>
      </c>
      <c r="G24" s="89">
        <f t="shared" si="5"/>
        <v>74.868750000000034</v>
      </c>
      <c r="H24" s="89">
        <f t="shared" si="5"/>
        <v>82.355625000000003</v>
      </c>
      <c r="I24" s="89">
        <f t="shared" si="5"/>
        <v>90.591187500000032</v>
      </c>
      <c r="J24" s="89">
        <f t="shared" si="5"/>
        <v>99.650306250000057</v>
      </c>
      <c r="K24" s="89">
        <f t="shared" si="5"/>
        <v>109.61533687500008</v>
      </c>
      <c r="L24" s="89">
        <f t="shared" si="5"/>
        <v>105.46139441018683</v>
      </c>
      <c r="M24" s="89">
        <f t="shared" si="5"/>
        <v>98.289078074798041</v>
      </c>
      <c r="N24" s="89">
        <f t="shared" si="5"/>
        <v>90.686422759285904</v>
      </c>
      <c r="O24" s="89">
        <f t="shared" si="5"/>
        <v>82.62760812484305</v>
      </c>
      <c r="P24" s="89">
        <f t="shared" si="5"/>
        <v>74.085264612333646</v>
      </c>
      <c r="Q24" s="89">
        <f t="shared" si="5"/>
        <v>65.03038048907365</v>
      </c>
      <c r="R24" s="89">
        <f t="shared" si="5"/>
        <v>55.432203318418075</v>
      </c>
      <c r="S24" s="89">
        <f t="shared" si="5"/>
        <v>45.258135517523137</v>
      </c>
      <c r="T24" s="89">
        <f t="shared" si="5"/>
        <v>34.473623648574502</v>
      </c>
      <c r="U24" s="89">
        <f t="shared" si="5"/>
        <v>23.042041067488949</v>
      </c>
      <c r="V24" s="89">
        <f t="shared" si="5"/>
        <v>10.92456353153829</v>
      </c>
      <c r="W24" s="89">
        <f t="shared" si="5"/>
        <v>-1.9199626565694405</v>
      </c>
      <c r="X24" s="54"/>
    </row>
    <row r="25" spans="2:24" x14ac:dyDescent="0.2">
      <c r="B25" s="4" t="s">
        <v>58</v>
      </c>
      <c r="C25" s="75"/>
      <c r="D25" s="88">
        <f t="shared" ref="D25:W25" si="6">D19*$C$21</f>
        <v>131.25</v>
      </c>
      <c r="E25" s="88">
        <f t="shared" si="6"/>
        <v>141.37500000000003</v>
      </c>
      <c r="F25" s="88">
        <f t="shared" si="6"/>
        <v>152.33250000000004</v>
      </c>
      <c r="G25" s="88">
        <f t="shared" si="6"/>
        <v>164.19495000000006</v>
      </c>
      <c r="H25" s="88">
        <f t="shared" si="6"/>
        <v>177.04139700000005</v>
      </c>
      <c r="I25" s="88">
        <f t="shared" si="6"/>
        <v>190.95810582000007</v>
      </c>
      <c r="J25" s="88">
        <f t="shared" si="6"/>
        <v>206.0392396692001</v>
      </c>
      <c r="K25" s="88">
        <f t="shared" si="6"/>
        <v>222.38760629935211</v>
      </c>
      <c r="L25" s="88">
        <f t="shared" si="6"/>
        <v>225</v>
      </c>
      <c r="M25" s="88">
        <f t="shared" si="6"/>
        <v>225</v>
      </c>
      <c r="N25" s="88">
        <f t="shared" si="6"/>
        <v>225</v>
      </c>
      <c r="O25" s="88">
        <f t="shared" si="6"/>
        <v>225</v>
      </c>
      <c r="P25" s="88">
        <f t="shared" si="6"/>
        <v>225</v>
      </c>
      <c r="Q25" s="88">
        <f t="shared" si="6"/>
        <v>225</v>
      </c>
      <c r="R25" s="88">
        <f t="shared" si="6"/>
        <v>225</v>
      </c>
      <c r="S25" s="88">
        <f t="shared" si="6"/>
        <v>225</v>
      </c>
      <c r="T25" s="88">
        <f t="shared" si="6"/>
        <v>225</v>
      </c>
      <c r="U25" s="88">
        <f t="shared" si="6"/>
        <v>225</v>
      </c>
      <c r="V25" s="88">
        <f t="shared" si="6"/>
        <v>225</v>
      </c>
      <c r="W25" s="88">
        <f t="shared" si="6"/>
        <v>225</v>
      </c>
      <c r="X25" s="55"/>
    </row>
    <row r="26" spans="2:24" x14ac:dyDescent="0.2">
      <c r="C26" s="75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54"/>
    </row>
    <row r="27" spans="2:24" x14ac:dyDescent="0.2">
      <c r="B27" s="8" t="s">
        <v>7</v>
      </c>
      <c r="C27" s="79">
        <f>COGS</f>
        <v>0.1</v>
      </c>
      <c r="D27" s="86">
        <f t="shared" ref="D27:W27" si="7">IF(Production_Locations=1,D25*$C$27*COGS_Multiplier,D25*$C$27)</f>
        <v>12.46875</v>
      </c>
      <c r="E27" s="86">
        <f t="shared" si="7"/>
        <v>13.430625000000003</v>
      </c>
      <c r="F27" s="86">
        <f t="shared" si="7"/>
        <v>14.471587500000004</v>
      </c>
      <c r="G27" s="86">
        <f t="shared" si="7"/>
        <v>15.598520250000007</v>
      </c>
      <c r="H27" s="86">
        <f t="shared" si="7"/>
        <v>16.818932715000006</v>
      </c>
      <c r="I27" s="86">
        <f t="shared" si="7"/>
        <v>18.141020052900007</v>
      </c>
      <c r="J27" s="86">
        <f t="shared" si="7"/>
        <v>19.57372776857401</v>
      </c>
      <c r="K27" s="86">
        <f t="shared" si="7"/>
        <v>21.126822598438451</v>
      </c>
      <c r="L27" s="86">
        <f t="shared" si="7"/>
        <v>21.375</v>
      </c>
      <c r="M27" s="86">
        <f t="shared" si="7"/>
        <v>21.375</v>
      </c>
      <c r="N27" s="86">
        <f t="shared" si="7"/>
        <v>21.375</v>
      </c>
      <c r="O27" s="86">
        <f t="shared" si="7"/>
        <v>21.375</v>
      </c>
      <c r="P27" s="86">
        <f t="shared" si="7"/>
        <v>21.375</v>
      </c>
      <c r="Q27" s="86">
        <f t="shared" si="7"/>
        <v>21.375</v>
      </c>
      <c r="R27" s="86">
        <f t="shared" si="7"/>
        <v>21.375</v>
      </c>
      <c r="S27" s="86">
        <f t="shared" si="7"/>
        <v>21.375</v>
      </c>
      <c r="T27" s="86">
        <f t="shared" si="7"/>
        <v>21.375</v>
      </c>
      <c r="U27" s="86">
        <f t="shared" si="7"/>
        <v>21.375</v>
      </c>
      <c r="V27" s="86">
        <f t="shared" si="7"/>
        <v>21.375</v>
      </c>
      <c r="W27" s="86">
        <f t="shared" si="7"/>
        <v>21.375</v>
      </c>
      <c r="X27" s="56"/>
    </row>
    <row r="28" spans="2:24" x14ac:dyDescent="0.2">
      <c r="C28" s="80"/>
      <c r="D28" s="86"/>
      <c r="E28" s="86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7"/>
      <c r="X28" s="58"/>
    </row>
    <row r="29" spans="2:24" x14ac:dyDescent="0.2">
      <c r="B29" s="8" t="s">
        <v>23</v>
      </c>
      <c r="C29" s="81">
        <f>Tariffs</f>
        <v>0.05</v>
      </c>
      <c r="D29" s="87">
        <f t="shared" ref="D29:W29" si="8">IF(Production_Locations=1,D24*$C$29,0)</f>
        <v>2.8125</v>
      </c>
      <c r="E29" s="87">
        <f t="shared" si="8"/>
        <v>3.0937500000000009</v>
      </c>
      <c r="F29" s="87">
        <f t="shared" si="8"/>
        <v>3.4031250000000011</v>
      </c>
      <c r="G29" s="87">
        <f t="shared" si="8"/>
        <v>3.743437500000002</v>
      </c>
      <c r="H29" s="87">
        <f t="shared" si="8"/>
        <v>4.1177812500000002</v>
      </c>
      <c r="I29" s="87">
        <f t="shared" si="8"/>
        <v>4.5295593750000016</v>
      </c>
      <c r="J29" s="87">
        <f t="shared" si="8"/>
        <v>4.982515312500003</v>
      </c>
      <c r="K29" s="87">
        <f t="shared" si="8"/>
        <v>5.4807668437500041</v>
      </c>
      <c r="L29" s="87">
        <f t="shared" si="8"/>
        <v>5.2730697205093415</v>
      </c>
      <c r="M29" s="87">
        <f t="shared" si="8"/>
        <v>4.9144539037399024</v>
      </c>
      <c r="N29" s="87">
        <f t="shared" si="8"/>
        <v>4.5343211379642954</v>
      </c>
      <c r="O29" s="87">
        <f t="shared" si="8"/>
        <v>4.1313804062421529</v>
      </c>
      <c r="P29" s="87">
        <f t="shared" si="8"/>
        <v>3.7042632306166823</v>
      </c>
      <c r="Q29" s="87">
        <f t="shared" si="8"/>
        <v>3.2515190244536827</v>
      </c>
      <c r="R29" s="87">
        <f t="shared" si="8"/>
        <v>2.771610165920904</v>
      </c>
      <c r="S29" s="87">
        <f t="shared" si="8"/>
        <v>2.2629067758761567</v>
      </c>
      <c r="T29" s="87">
        <f t="shared" si="8"/>
        <v>1.7236811824287253</v>
      </c>
      <c r="U29" s="87">
        <f t="shared" si="8"/>
        <v>1.1521020533744475</v>
      </c>
      <c r="V29" s="87">
        <f t="shared" si="8"/>
        <v>0.54622817657691447</v>
      </c>
      <c r="W29" s="87">
        <f t="shared" si="8"/>
        <v>-9.5998132828472027E-2</v>
      </c>
      <c r="X29" s="59"/>
    </row>
    <row r="30" spans="2:24" x14ac:dyDescent="0.2">
      <c r="B30" s="4"/>
      <c r="C30" s="81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59"/>
    </row>
    <row r="31" spans="2:24" ht="14.25" x14ac:dyDescent="0.25">
      <c r="B31" s="74" t="s">
        <v>59</v>
      </c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55"/>
    </row>
    <row r="32" spans="2:24" x14ac:dyDescent="0.2">
      <c r="B32" s="8" t="s">
        <v>52</v>
      </c>
      <c r="C32" s="75"/>
      <c r="D32" s="86">
        <f>D25-D27-D29</f>
        <v>115.96875</v>
      </c>
      <c r="E32" s="86">
        <f t="shared" ref="E32:W32" si="9">E25-E27-E29</f>
        <v>124.85062500000002</v>
      </c>
      <c r="F32" s="86">
        <f t="shared" si="9"/>
        <v>134.45778750000005</v>
      </c>
      <c r="G32" s="86">
        <f t="shared" si="9"/>
        <v>144.85299225000006</v>
      </c>
      <c r="H32" s="86">
        <f t="shared" si="9"/>
        <v>156.10468303500002</v>
      </c>
      <c r="I32" s="86">
        <f t="shared" si="9"/>
        <v>168.28752639210006</v>
      </c>
      <c r="J32" s="86">
        <f t="shared" si="9"/>
        <v>181.4829965881261</v>
      </c>
      <c r="K32" s="86">
        <f t="shared" si="9"/>
        <v>195.78001685716367</v>
      </c>
      <c r="L32" s="86">
        <f t="shared" si="9"/>
        <v>198.35193027949066</v>
      </c>
      <c r="M32" s="86">
        <f t="shared" si="9"/>
        <v>198.71054609626009</v>
      </c>
      <c r="N32" s="86">
        <f t="shared" si="9"/>
        <v>199.0906788620357</v>
      </c>
      <c r="O32" s="86">
        <f t="shared" si="9"/>
        <v>199.49361959375784</v>
      </c>
      <c r="P32" s="86">
        <f t="shared" si="9"/>
        <v>199.92073676938332</v>
      </c>
      <c r="Q32" s="86">
        <f t="shared" si="9"/>
        <v>200.37348097554633</v>
      </c>
      <c r="R32" s="86">
        <f t="shared" si="9"/>
        <v>200.85338983407911</v>
      </c>
      <c r="S32" s="86">
        <f t="shared" si="9"/>
        <v>201.36209322412384</v>
      </c>
      <c r="T32" s="86">
        <f t="shared" si="9"/>
        <v>201.90131881757128</v>
      </c>
      <c r="U32" s="86">
        <f t="shared" si="9"/>
        <v>202.47289794662555</v>
      </c>
      <c r="V32" s="86">
        <f t="shared" si="9"/>
        <v>203.0787718234231</v>
      </c>
      <c r="W32" s="86">
        <f t="shared" si="9"/>
        <v>203.72099813282847</v>
      </c>
      <c r="X32" s="56"/>
    </row>
    <row r="33" spans="2:24" x14ac:dyDescent="0.2">
      <c r="B33" s="8" t="s">
        <v>53</v>
      </c>
      <c r="C33" s="75"/>
      <c r="D33" s="87">
        <f t="shared" ref="D33:W33" si="10">D32*Tax_Rate</f>
        <v>28.9921875</v>
      </c>
      <c r="E33" s="87">
        <f t="shared" si="10"/>
        <v>31.212656250000006</v>
      </c>
      <c r="F33" s="87">
        <f t="shared" si="10"/>
        <v>33.614446875000013</v>
      </c>
      <c r="G33" s="87">
        <f t="shared" si="10"/>
        <v>36.213248062500014</v>
      </c>
      <c r="H33" s="87">
        <f t="shared" si="10"/>
        <v>39.026170758750006</v>
      </c>
      <c r="I33" s="87">
        <f t="shared" si="10"/>
        <v>42.071881598025016</v>
      </c>
      <c r="J33" s="87">
        <f t="shared" si="10"/>
        <v>45.370749147031525</v>
      </c>
      <c r="K33" s="87">
        <f t="shared" si="10"/>
        <v>48.945004214290918</v>
      </c>
      <c r="L33" s="87">
        <f t="shared" si="10"/>
        <v>49.587982569872665</v>
      </c>
      <c r="M33" s="87">
        <f t="shared" si="10"/>
        <v>49.677636524065022</v>
      </c>
      <c r="N33" s="87">
        <f t="shared" si="10"/>
        <v>49.772669715508925</v>
      </c>
      <c r="O33" s="87">
        <f t="shared" si="10"/>
        <v>49.87340489843946</v>
      </c>
      <c r="P33" s="87">
        <f t="shared" si="10"/>
        <v>49.980184192345831</v>
      </c>
      <c r="Q33" s="87">
        <f t="shared" si="10"/>
        <v>50.093370243886582</v>
      </c>
      <c r="R33" s="87">
        <f t="shared" si="10"/>
        <v>50.213347458519777</v>
      </c>
      <c r="S33" s="87">
        <f t="shared" si="10"/>
        <v>50.34052330603096</v>
      </c>
      <c r="T33" s="87">
        <f t="shared" si="10"/>
        <v>50.47532970439282</v>
      </c>
      <c r="U33" s="87">
        <f t="shared" si="10"/>
        <v>50.618224486656388</v>
      </c>
      <c r="V33" s="87">
        <f t="shared" si="10"/>
        <v>50.769692955855774</v>
      </c>
      <c r="W33" s="87">
        <f t="shared" si="10"/>
        <v>50.930249533207117</v>
      </c>
      <c r="X33" s="56"/>
    </row>
    <row r="34" spans="2:24" x14ac:dyDescent="0.2">
      <c r="B34" s="8" t="s">
        <v>17</v>
      </c>
      <c r="C34" s="3"/>
      <c r="D34" s="87">
        <f>CAPEX_Value/2</f>
        <v>300</v>
      </c>
      <c r="E34" s="87">
        <f>CAPEX_Value/2</f>
        <v>300</v>
      </c>
      <c r="F34" s="87">
        <v>0</v>
      </c>
      <c r="G34" s="87">
        <v>0</v>
      </c>
      <c r="H34" s="87">
        <v>0</v>
      </c>
      <c r="I34" s="87">
        <v>0</v>
      </c>
      <c r="J34" s="87">
        <v>0</v>
      </c>
      <c r="K34" s="87">
        <v>0</v>
      </c>
      <c r="L34" s="87">
        <v>0</v>
      </c>
      <c r="M34" s="87">
        <v>0</v>
      </c>
      <c r="N34" s="87">
        <v>0</v>
      </c>
      <c r="O34" s="87">
        <v>0</v>
      </c>
      <c r="P34" s="87">
        <v>0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v>0</v>
      </c>
      <c r="W34" s="87">
        <v>0</v>
      </c>
      <c r="X34" s="56"/>
    </row>
    <row r="35" spans="2:24" x14ac:dyDescent="0.2">
      <c r="C35" s="3"/>
      <c r="D35" s="69"/>
      <c r="E35" s="69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56"/>
    </row>
    <row r="36" spans="2:24" x14ac:dyDescent="0.2">
      <c r="B36" s="4" t="s">
        <v>37</v>
      </c>
      <c r="C36" s="75"/>
      <c r="D36" s="85">
        <f t="shared" ref="D36:W36" si="11">D32-D33-D34</f>
        <v>-213.0234375</v>
      </c>
      <c r="E36" s="85">
        <f t="shared" si="11"/>
        <v>-206.36203124999997</v>
      </c>
      <c r="F36" s="85">
        <f t="shared" si="11"/>
        <v>100.84334062500004</v>
      </c>
      <c r="G36" s="85">
        <f t="shared" si="11"/>
        <v>108.63974418750004</v>
      </c>
      <c r="H36" s="85">
        <f t="shared" si="11"/>
        <v>117.07851227625002</v>
      </c>
      <c r="I36" s="85">
        <f t="shared" si="11"/>
        <v>126.21564479407505</v>
      </c>
      <c r="J36" s="85">
        <f t="shared" si="11"/>
        <v>136.11224744109458</v>
      </c>
      <c r="K36" s="85">
        <f t="shared" si="11"/>
        <v>146.83501264287275</v>
      </c>
      <c r="L36" s="85">
        <f t="shared" si="11"/>
        <v>148.76394770961798</v>
      </c>
      <c r="M36" s="85">
        <f t="shared" si="11"/>
        <v>149.03290957219508</v>
      </c>
      <c r="N36" s="85">
        <f t="shared" si="11"/>
        <v>149.31800914652678</v>
      </c>
      <c r="O36" s="85">
        <f t="shared" si="11"/>
        <v>149.6202146953184</v>
      </c>
      <c r="P36" s="85">
        <f t="shared" si="11"/>
        <v>149.94055257703749</v>
      </c>
      <c r="Q36" s="85">
        <f t="shared" si="11"/>
        <v>150.28011073165976</v>
      </c>
      <c r="R36" s="85">
        <f t="shared" si="11"/>
        <v>150.64004237555935</v>
      </c>
      <c r="S36" s="85">
        <f t="shared" si="11"/>
        <v>151.02156991809289</v>
      </c>
      <c r="T36" s="85">
        <f t="shared" si="11"/>
        <v>151.42598911317845</v>
      </c>
      <c r="U36" s="85">
        <f t="shared" si="11"/>
        <v>151.85467345996915</v>
      </c>
      <c r="V36" s="85">
        <f t="shared" si="11"/>
        <v>152.30907886756734</v>
      </c>
      <c r="W36" s="85">
        <f t="shared" si="11"/>
        <v>152.79074859962134</v>
      </c>
      <c r="X36" s="54"/>
    </row>
    <row r="37" spans="2:24" x14ac:dyDescent="0.2">
      <c r="C37" s="75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54"/>
    </row>
    <row r="38" spans="2:24" s="57" customFormat="1" x14ac:dyDescent="0.2">
      <c r="B38" s="57" t="s">
        <v>40</v>
      </c>
      <c r="C38" s="82"/>
      <c r="D38" s="70">
        <v>1</v>
      </c>
      <c r="E38" s="71">
        <f t="shared" ref="E38:W38" si="12">D38/(1+Discount_Rate)</f>
        <v>0.90909090909090906</v>
      </c>
      <c r="F38" s="71">
        <f t="shared" si="12"/>
        <v>0.82644628099173545</v>
      </c>
      <c r="G38" s="71">
        <f t="shared" si="12"/>
        <v>0.75131480090157765</v>
      </c>
      <c r="H38" s="71">
        <f t="shared" si="12"/>
        <v>0.68301345536507052</v>
      </c>
      <c r="I38" s="71">
        <f t="shared" si="12"/>
        <v>0.62092132305915493</v>
      </c>
      <c r="J38" s="71">
        <f t="shared" si="12"/>
        <v>0.56447393005377711</v>
      </c>
      <c r="K38" s="71">
        <f t="shared" si="12"/>
        <v>0.51315811823070645</v>
      </c>
      <c r="L38" s="71">
        <f t="shared" si="12"/>
        <v>0.46650738020973309</v>
      </c>
      <c r="M38" s="71">
        <f t="shared" si="12"/>
        <v>0.42409761837248461</v>
      </c>
      <c r="N38" s="71">
        <f t="shared" si="12"/>
        <v>0.38554328942953142</v>
      </c>
      <c r="O38" s="71">
        <f t="shared" si="12"/>
        <v>0.35049389948139215</v>
      </c>
      <c r="P38" s="71">
        <f t="shared" si="12"/>
        <v>0.31863081771035645</v>
      </c>
      <c r="Q38" s="71">
        <f t="shared" si="12"/>
        <v>0.28966437973668768</v>
      </c>
      <c r="R38" s="71">
        <f t="shared" si="12"/>
        <v>0.26333125430607968</v>
      </c>
      <c r="S38" s="71">
        <f t="shared" si="12"/>
        <v>0.23939204936916333</v>
      </c>
      <c r="T38" s="71">
        <f t="shared" si="12"/>
        <v>0.21762913579014848</v>
      </c>
      <c r="U38" s="71">
        <f t="shared" si="12"/>
        <v>0.19784466890013497</v>
      </c>
      <c r="V38" s="71">
        <f t="shared" si="12"/>
        <v>0.17985878990921358</v>
      </c>
      <c r="W38" s="71">
        <f t="shared" si="12"/>
        <v>0.16350799082655779</v>
      </c>
      <c r="X38" s="60"/>
    </row>
    <row r="39" spans="2:24" s="57" customFormat="1" x14ac:dyDescent="0.2">
      <c r="B39" s="73" t="s">
        <v>41</v>
      </c>
      <c r="C39" s="82"/>
      <c r="D39" s="85">
        <f>D36*D38</f>
        <v>-213.0234375</v>
      </c>
      <c r="E39" s="85">
        <f t="shared" ref="E39:W39" si="13">E36*E38</f>
        <v>-187.60184659090905</v>
      </c>
      <c r="F39" s="85">
        <f t="shared" si="13"/>
        <v>83.34160382231407</v>
      </c>
      <c r="G39" s="85">
        <f t="shared" si="13"/>
        <v>81.622647774229918</v>
      </c>
      <c r="H39" s="85">
        <f t="shared" si="13"/>
        <v>79.966199218803354</v>
      </c>
      <c r="I39" s="85">
        <f t="shared" si="13"/>
        <v>78.369985156301425</v>
      </c>
      <c r="J39" s="85">
        <f t="shared" si="13"/>
        <v>76.831815241526826</v>
      </c>
      <c r="K39" s="85">
        <f t="shared" si="13"/>
        <v>75.349578778198577</v>
      </c>
      <c r="L39" s="85">
        <f t="shared" si="13"/>
        <v>69.399479515671601</v>
      </c>
      <c r="M39" s="85">
        <f t="shared" si="13"/>
        <v>63.204502008689801</v>
      </c>
      <c r="N39" s="85">
        <f t="shared" si="13"/>
        <v>57.568556417420794</v>
      </c>
      <c r="O39" s="85">
        <f t="shared" si="13"/>
        <v>52.44097248980524</v>
      </c>
      <c r="P39" s="85">
        <f t="shared" si="13"/>
        <v>47.775680875564149</v>
      </c>
      <c r="Q39" s="85">
        <f t="shared" si="13"/>
        <v>43.530795061846966</v>
      </c>
      <c r="R39" s="85">
        <f t="shared" si="13"/>
        <v>39.668231307477036</v>
      </c>
      <c r="S39" s="85">
        <f t="shared" si="13"/>
        <v>36.153363121640645</v>
      </c>
      <c r="T39" s="85">
        <f t="shared" si="13"/>
        <v>32.95470714686946</v>
      </c>
      <c r="U39" s="85">
        <f t="shared" si="13"/>
        <v>30.043637591625711</v>
      </c>
      <c r="V39" s="85">
        <f t="shared" si="13"/>
        <v>27.394126617307634</v>
      </c>
      <c r="W39" s="85">
        <f t="shared" si="13"/>
        <v>24.982508320409782</v>
      </c>
      <c r="X39" s="61"/>
    </row>
    <row r="40" spans="2:24" s="57" customFormat="1" x14ac:dyDescent="0.2">
      <c r="C40" s="82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56"/>
    </row>
    <row r="41" spans="2:24" ht="12.75" customHeight="1" x14ac:dyDescent="0.3">
      <c r="B41" s="84" t="s">
        <v>16</v>
      </c>
      <c r="C41" s="75"/>
      <c r="D41" s="93">
        <f>SUM(D39:W39)</f>
        <v>599.97310637479393</v>
      </c>
      <c r="E41" s="69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6"/>
      <c r="X41" s="54"/>
    </row>
    <row r="42" spans="2:24" x14ac:dyDescent="0.2">
      <c r="D42" s="59"/>
      <c r="E42" s="59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4"/>
      <c r="X42" s="54"/>
    </row>
    <row r="43" spans="2:24" hidden="1" x14ac:dyDescent="0.2"/>
    <row r="44" spans="2:24" hidden="1" x14ac:dyDescent="0.2">
      <c r="B44" s="62"/>
    </row>
    <row r="45" spans="2:24" hidden="1" x14ac:dyDescent="0.2"/>
    <row r="46" spans="2:24" hidden="1" x14ac:dyDescent="0.2"/>
    <row r="47" spans="2:24" hidden="1" x14ac:dyDescent="0.2"/>
    <row r="48" spans="2:24" hidden="1" x14ac:dyDescent="0.2"/>
    <row r="49" spans="2:3" hidden="1" x14ac:dyDescent="0.2"/>
    <row r="50" spans="2:3" hidden="1" x14ac:dyDescent="0.2">
      <c r="C50" s="63"/>
    </row>
    <row r="51" spans="2:3" hidden="1" x14ac:dyDescent="0.2"/>
    <row r="52" spans="2:3" hidden="1" x14ac:dyDescent="0.2"/>
    <row r="53" spans="2:3" hidden="1" x14ac:dyDescent="0.2"/>
    <row r="54" spans="2:3" hidden="1" x14ac:dyDescent="0.2"/>
    <row r="55" spans="2:3" hidden="1" x14ac:dyDescent="0.2"/>
    <row r="56" spans="2:3" hidden="1" x14ac:dyDescent="0.2"/>
    <row r="57" spans="2:3" hidden="1" x14ac:dyDescent="0.2"/>
    <row r="58" spans="2:3" hidden="1" x14ac:dyDescent="0.2"/>
    <row r="59" spans="2:3" hidden="1" x14ac:dyDescent="0.2"/>
    <row r="60" spans="2:3" hidden="1" x14ac:dyDescent="0.2">
      <c r="B60" s="13"/>
    </row>
    <row r="61" spans="2:3" hidden="1" x14ac:dyDescent="0.2"/>
    <row r="62" spans="2:3" hidden="1" x14ac:dyDescent="0.2"/>
    <row r="63" spans="2:3" hidden="1" x14ac:dyDescent="0.2"/>
    <row r="64" spans="2:3" hidden="1" x14ac:dyDescent="0.2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23</vt:i4>
      </vt:variant>
    </vt:vector>
  </HeadingPairs>
  <TitlesOfParts>
    <vt:vector size="25" baseType="lpstr">
      <vt:lpstr>Inputs</vt:lpstr>
      <vt:lpstr>Cash Flow</vt:lpstr>
      <vt:lpstr>Capacity</vt:lpstr>
      <vt:lpstr>Capacity_Table</vt:lpstr>
      <vt:lpstr>Capacity_Value</vt:lpstr>
      <vt:lpstr>CAPEX</vt:lpstr>
      <vt:lpstr>CAPEX_Table_Large</vt:lpstr>
      <vt:lpstr>CAPEX_Table_Medium</vt:lpstr>
      <vt:lpstr>CAPEX_Table_Small</vt:lpstr>
      <vt:lpstr>CAPEX_Value</vt:lpstr>
      <vt:lpstr>COGS</vt:lpstr>
      <vt:lpstr>COGS_Expansion</vt:lpstr>
      <vt:lpstr>COGS_Multiplier</vt:lpstr>
      <vt:lpstr>Demand_Dev</vt:lpstr>
      <vt:lpstr>Demand_Em</vt:lpstr>
      <vt:lpstr>Demand_Grw_Dev</vt:lpstr>
      <vt:lpstr>Demand_Grw_Em</vt:lpstr>
      <vt:lpstr>Discount_Rate</vt:lpstr>
      <vt:lpstr>DPL_CAPEX</vt:lpstr>
      <vt:lpstr>NPV</vt:lpstr>
      <vt:lpstr>Price</vt:lpstr>
      <vt:lpstr>Production_Locations</vt:lpstr>
      <vt:lpstr>Supply_Disruption</vt:lpstr>
      <vt:lpstr>Tariffs</vt:lpstr>
      <vt:lpstr>Tax_Rate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nlyons</dc:creator>
  <cp:lastModifiedBy>nlyons</cp:lastModifiedBy>
  <dcterms:created xsi:type="dcterms:W3CDTF">2017-08-09T17:19:53Z</dcterms:created>
  <dcterms:modified xsi:type="dcterms:W3CDTF">2017-09-08T14:35:46Z</dcterms:modified>
</cp:coreProperties>
</file>