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franz\Desktop\hugo\static\docs\posts\"/>
    </mc:Choice>
  </mc:AlternateContent>
  <xr:revisionPtr revIDLastSave="0" documentId="8_{A0559DF5-C42E-4A65-9CF4-15127B80254B}" xr6:coauthVersionLast="47" xr6:coauthVersionMax="47" xr10:uidLastSave="{00000000-0000-0000-0000-000000000000}"/>
  <bookViews>
    <workbookView xWindow="-24330" yWindow="540" windowWidth="17310" windowHeight="15450"/>
  </bookViews>
  <sheets>
    <sheet name="Assumptions" sheetId="21" r:id="rId1"/>
    <sheet name="Probabilities" sheetId="22" r:id="rId2"/>
    <sheet name="DCF" sheetId="12" r:id="rId3"/>
  </sheets>
  <definedNames>
    <definedName name="Adjusted_peak_sales">Assumptions!$C$68</definedName>
    <definedName name="COGS">Assumptions!$C$45</definedName>
    <definedName name="dev_cost_phase1">Assumptions!$E$35:$V$35</definedName>
    <definedName name="dev_cost_phase2">Assumptions!$E$36:$V$36</definedName>
    <definedName name="dev_cost_phase3">Assumptions!$E$37:$V$37</definedName>
    <definedName name="dev_cost_reg">Assumptions!$E$38:$V$38</definedName>
    <definedName name="Develop">Assumptions!$C$19</definedName>
    <definedName name="discount_factor">DCF!$E$39:$V$39</definedName>
    <definedName name="Discount_rate">Assumptions!$C$6</definedName>
    <definedName name="FCF_post_launch">DCF!$E$32:$V$32</definedName>
    <definedName name="FCF_pre_launch">DCF!$E$31:$V$31</definedName>
    <definedName name="FDA_approval">Assumptions!$C$24</definedName>
    <definedName name="Free_Cash_Flow">DCF!$E$30:$V$30</definedName>
    <definedName name="Key_competitor_outcome">Assumptions!$C$26</definedName>
    <definedName name="launch_cost">Assumptions!$E$41:$V$41</definedName>
    <definedName name="Launch_costs">DCF!$E$14:$V$14</definedName>
    <definedName name="launch_year">Assumptions!$C$9</definedName>
    <definedName name="Licensor_CF_Phase_1">DCF!$E$21:$V$21</definedName>
    <definedName name="Licensor_CF_Phase_2">DCF!$E$22:$V$22</definedName>
    <definedName name="Licensor_CF_Phase_3">DCF!$E$23:$V$23</definedName>
    <definedName name="Licensor_CF_Registration">DCF!$E$24:$V$24</definedName>
    <definedName name="Licensor_CF_Royalties">DCF!$E$25:$V$25</definedName>
    <definedName name="Licensor_PV_Phase_1">DCF!$D$21</definedName>
    <definedName name="Licensor_PV_Phase_2">DCF!$D$22</definedName>
    <definedName name="Licensor_PV_Phase_3">DCF!$D$23</definedName>
    <definedName name="Licensor_PV_Registration">DCF!$D$24</definedName>
    <definedName name="Licensor_PV_Royalties">DCF!$D$25</definedName>
    <definedName name="Market_share">Assumptions!$C$27</definedName>
    <definedName name="Market_size">Assumptions!$C$28</definedName>
    <definedName name="marketing_cost_rate">Assumptions!$C$42</definedName>
    <definedName name="milestone_payments">Assumptions!$E$46:$V$46</definedName>
    <definedName name="Ongoing_costs">DCF!$E$15:$V$15</definedName>
    <definedName name="patent_expiry">Assumptions!$C$7</definedName>
    <definedName name="Peak_sales">Assumptions!$C$57</definedName>
    <definedName name="peak_sales_table">Assumptions!$G$57:$I$59</definedName>
    <definedName name="Phase_1_costs">DCF!$E$7:$V$7</definedName>
    <definedName name="Phase_1_payment">Assumptions!$C$51</definedName>
    <definedName name="Phase_1_success">Assumptions!$C$21</definedName>
    <definedName name="Phase_2_costs">DCF!$E$8:$V$8</definedName>
    <definedName name="Phase_2_go_ahead">Assumptions!#REF!</definedName>
    <definedName name="Phase_2_payment">Assumptions!$C$52</definedName>
    <definedName name="Phase_2_success">Assumptions!$C$22</definedName>
    <definedName name="Phase_3_costs">DCF!$E$9:$V$9</definedName>
    <definedName name="Phase_3_go_ahead">Assumptions!#REF!</definedName>
    <definedName name="Phase_3_payment">Assumptions!$C$53</definedName>
    <definedName name="Phase_3_success">Assumptions!$C$23</definedName>
    <definedName name="Pricing">Assumptions!$C$29</definedName>
    <definedName name="_xlnm.Print_Area" localSheetId="0">Assumptions!$B$2:$O$31</definedName>
    <definedName name="_xlnm.Print_Area" localSheetId="2">DCF!$B$2:$O$42</definedName>
    <definedName name="prob_fda_approval">Probabilities!$C$12</definedName>
    <definedName name="prob_success_phase1">Probabilities!$C$6</definedName>
    <definedName name="prob_success_phase3">Probabilities!$C$11</definedName>
    <definedName name="probs_competitor_outcome">Probabilities!$C$14:$C$16</definedName>
    <definedName name="probs_market_share">Probabilities!$E$26:$G$28</definedName>
    <definedName name="probs_market_size">Probabilities!$C$22:$C$24</definedName>
    <definedName name="probs_phase2">Probabilities!$C$8:$C$10</definedName>
    <definedName name="probs_pricing">Probabilities!$C$18:$C$20</definedName>
    <definedName name="PV_Development">DCF!$D$11</definedName>
    <definedName name="PV_Launch">DCF!$D$14</definedName>
    <definedName name="PV_Phase_1">DCF!$D$7</definedName>
    <definedName name="PV_Phase_2">DCF!$D$8</definedName>
    <definedName name="PV_Phase_3">DCF!$D$9</definedName>
    <definedName name="PV_post_launch">DCF!$D$32</definedName>
    <definedName name="PV_Registration">DCF!$D$10</definedName>
    <definedName name="Registration_costs">DCF!$E$10:$V$10</definedName>
    <definedName name="Registration_go_ahead">Assumptions!#REF!</definedName>
    <definedName name="Registration_payment">Assumptions!$C$54</definedName>
    <definedName name="royalty_rate">Assumptions!$C$50</definedName>
    <definedName name="Start_year">Assumptions!$C$8</definedName>
    <definedName name="Total_NPV">DCF!$C$41</definedName>
    <definedName name="Years_to_peak">Assumptions!$C$58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21" l="1"/>
  <c r="C57" i="21"/>
  <c r="C68" i="21" s="1"/>
  <c r="F28" i="12" s="1"/>
  <c r="D29" i="21"/>
  <c r="D26" i="21"/>
  <c r="D28" i="21"/>
  <c r="D27" i="21"/>
  <c r="E2" i="21"/>
  <c r="F2" i="21"/>
  <c r="G2" i="21"/>
  <c r="H2" i="21" s="1"/>
  <c r="I2" i="21" s="1"/>
  <c r="J2" i="21" s="1"/>
  <c r="K2" i="21" s="1"/>
  <c r="L2" i="21" s="1"/>
  <c r="M2" i="21" s="1"/>
  <c r="N2" i="21" s="1"/>
  <c r="O2" i="21" s="1"/>
  <c r="P2" i="21" s="1"/>
  <c r="Q2" i="21" s="1"/>
  <c r="R2" i="21" s="1"/>
  <c r="S2" i="21" s="1"/>
  <c r="T2" i="21" s="1"/>
  <c r="U2" i="21" s="1"/>
  <c r="V2" i="21" s="1"/>
  <c r="D24" i="21"/>
  <c r="D23" i="21"/>
  <c r="D22" i="21"/>
  <c r="D21" i="21"/>
  <c r="E7" i="12"/>
  <c r="E8" i="12"/>
  <c r="E9" i="12"/>
  <c r="E11" i="12" s="1"/>
  <c r="E10" i="12"/>
  <c r="E14" i="12"/>
  <c r="E2" i="12"/>
  <c r="F39" i="12"/>
  <c r="G39" i="12" s="1"/>
  <c r="F7" i="12"/>
  <c r="F8" i="12"/>
  <c r="F9" i="12"/>
  <c r="F10" i="12"/>
  <c r="F14" i="12"/>
  <c r="F2" i="12"/>
  <c r="F21" i="12"/>
  <c r="G7" i="12"/>
  <c r="G8" i="12"/>
  <c r="G9" i="12"/>
  <c r="G10" i="12"/>
  <c r="G14" i="12"/>
  <c r="G2" i="12"/>
  <c r="H2" i="12" s="1"/>
  <c r="H7" i="12"/>
  <c r="H8" i="12"/>
  <c r="H9" i="12"/>
  <c r="H11" i="12" s="1"/>
  <c r="H10" i="12"/>
  <c r="H14" i="12"/>
  <c r="H22" i="12"/>
  <c r="I7" i="12"/>
  <c r="I8" i="12"/>
  <c r="I9" i="12"/>
  <c r="I10" i="12"/>
  <c r="I14" i="12"/>
  <c r="J7" i="12"/>
  <c r="J8" i="12"/>
  <c r="J9" i="12"/>
  <c r="J10" i="12"/>
  <c r="J14" i="12"/>
  <c r="K7" i="12"/>
  <c r="K8" i="12"/>
  <c r="K9" i="12"/>
  <c r="K11" i="12" s="1"/>
  <c r="K10" i="12"/>
  <c r="K14" i="12"/>
  <c r="K23" i="12"/>
  <c r="L7" i="12"/>
  <c r="L8" i="12"/>
  <c r="L9" i="12"/>
  <c r="L10" i="12"/>
  <c r="L14" i="12"/>
  <c r="L24" i="12"/>
  <c r="M7" i="12"/>
  <c r="M8" i="12"/>
  <c r="M9" i="12"/>
  <c r="M11" i="12" s="1"/>
  <c r="M10" i="12"/>
  <c r="M14" i="12"/>
  <c r="N7" i="12"/>
  <c r="N8" i="12"/>
  <c r="N9" i="12"/>
  <c r="N10" i="12"/>
  <c r="N14" i="12"/>
  <c r="O7" i="12"/>
  <c r="O8" i="12"/>
  <c r="O9" i="12"/>
  <c r="O10" i="12"/>
  <c r="O14" i="12"/>
  <c r="P7" i="12"/>
  <c r="P8" i="12"/>
  <c r="P9" i="12"/>
  <c r="P10" i="12"/>
  <c r="P14" i="12"/>
  <c r="Q7" i="12"/>
  <c r="Q8" i="12"/>
  <c r="Q9" i="12"/>
  <c r="Q11" i="12" s="1"/>
  <c r="Q10" i="12"/>
  <c r="Q14" i="12"/>
  <c r="R7" i="12"/>
  <c r="R8" i="12"/>
  <c r="R9" i="12"/>
  <c r="R10" i="12"/>
  <c r="R14" i="12"/>
  <c r="S7" i="12"/>
  <c r="S8" i="12"/>
  <c r="S9" i="12"/>
  <c r="S10" i="12"/>
  <c r="S14" i="12"/>
  <c r="T7" i="12"/>
  <c r="T8" i="12"/>
  <c r="T9" i="12"/>
  <c r="T10" i="12"/>
  <c r="T14" i="12"/>
  <c r="U7" i="12"/>
  <c r="U8" i="12"/>
  <c r="U9" i="12"/>
  <c r="U11" i="12" s="1"/>
  <c r="U10" i="12"/>
  <c r="U14" i="12"/>
  <c r="V7" i="12"/>
  <c r="V8" i="12"/>
  <c r="V11" i="12" s="1"/>
  <c r="V31" i="12" s="1"/>
  <c r="V9" i="12"/>
  <c r="V10" i="12"/>
  <c r="V14" i="12"/>
  <c r="G11" i="12"/>
  <c r="T11" i="12" l="1"/>
  <c r="J11" i="12"/>
  <c r="J31" i="12" s="1"/>
  <c r="F11" i="12"/>
  <c r="F31" i="12" s="1"/>
  <c r="S11" i="12"/>
  <c r="O11" i="12"/>
  <c r="I11" i="12"/>
  <c r="K31" i="12"/>
  <c r="G31" i="12"/>
  <c r="R11" i="12"/>
  <c r="R31" i="12" s="1"/>
  <c r="N11" i="12"/>
  <c r="N31" i="12" s="1"/>
  <c r="U31" i="12"/>
  <c r="T31" i="12"/>
  <c r="M31" i="12"/>
  <c r="H31" i="12"/>
  <c r="Q31" i="12"/>
  <c r="S31" i="12"/>
  <c r="O31" i="12"/>
  <c r="I31" i="12"/>
  <c r="E31" i="12"/>
  <c r="L11" i="12"/>
  <c r="L31" i="12" s="1"/>
  <c r="P11" i="12"/>
  <c r="P31" i="12" s="1"/>
  <c r="F15" i="12"/>
  <c r="F25" i="12"/>
  <c r="F34" i="12" s="1"/>
  <c r="F19" i="12"/>
  <c r="H39" i="12"/>
  <c r="E28" i="12"/>
  <c r="G28" i="12"/>
  <c r="I2" i="12"/>
  <c r="H28" i="12"/>
  <c r="F26" i="12" l="1"/>
  <c r="F32" i="12" s="1"/>
  <c r="E15" i="12"/>
  <c r="E25" i="12"/>
  <c r="E19" i="12"/>
  <c r="J2" i="12"/>
  <c r="I28" i="12"/>
  <c r="G25" i="12"/>
  <c r="G34" i="12" s="1"/>
  <c r="G19" i="12"/>
  <c r="G15" i="12"/>
  <c r="I39" i="12"/>
  <c r="H25" i="12"/>
  <c r="H34" i="12" s="1"/>
  <c r="H19" i="12"/>
  <c r="H15" i="12"/>
  <c r="F16" i="12"/>
  <c r="F30" i="12" l="1"/>
  <c r="F40" i="12" s="1"/>
  <c r="H26" i="12"/>
  <c r="H32" i="12" s="1"/>
  <c r="J39" i="12"/>
  <c r="E34" i="12"/>
  <c r="H16" i="12"/>
  <c r="I15" i="12"/>
  <c r="I19" i="12"/>
  <c r="I25" i="12"/>
  <c r="I34" i="12" s="1"/>
  <c r="E16" i="12"/>
  <c r="G16" i="12"/>
  <c r="J28" i="12"/>
  <c r="K2" i="12"/>
  <c r="G26" i="12"/>
  <c r="G32" i="12" s="1"/>
  <c r="E26" i="12"/>
  <c r="E32" i="12" s="1"/>
  <c r="H30" i="12" l="1"/>
  <c r="H40" i="12" s="1"/>
  <c r="I26" i="12"/>
  <c r="I32" i="12" s="1"/>
  <c r="J25" i="12"/>
  <c r="J19" i="12"/>
  <c r="J15" i="12"/>
  <c r="G30" i="12"/>
  <c r="G40" i="12" s="1"/>
  <c r="K28" i="12"/>
  <c r="L2" i="12"/>
  <c r="E30" i="12"/>
  <c r="E40" i="12" s="1"/>
  <c r="I16" i="12"/>
  <c r="K39" i="12"/>
  <c r="I30" i="12" l="1"/>
  <c r="I40" i="12" s="1"/>
  <c r="J26" i="12"/>
  <c r="J32" i="12" s="1"/>
  <c r="J16" i="12"/>
  <c r="L39" i="12"/>
  <c r="L28" i="12"/>
  <c r="M2" i="12"/>
  <c r="J34" i="12"/>
  <c r="K19" i="12"/>
  <c r="K15" i="12"/>
  <c r="K25" i="12"/>
  <c r="K34" i="12" s="1"/>
  <c r="J30" i="12" l="1"/>
  <c r="J40" i="12" s="1"/>
  <c r="K26" i="12"/>
  <c r="K32" i="12" s="1"/>
  <c r="K16" i="12"/>
  <c r="N2" i="12"/>
  <c r="M28" i="12"/>
  <c r="L19" i="12"/>
  <c r="L15" i="12"/>
  <c r="L25" i="12"/>
  <c r="L34" i="12" s="1"/>
  <c r="M39" i="12"/>
  <c r="K30" i="12" l="1"/>
  <c r="K40" i="12" s="1"/>
  <c r="N39" i="12"/>
  <c r="L26" i="12"/>
  <c r="L32" i="12" s="1"/>
  <c r="M19" i="12"/>
  <c r="M15" i="12"/>
  <c r="M25" i="12"/>
  <c r="L16" i="12"/>
  <c r="N28" i="12"/>
  <c r="O2" i="12"/>
  <c r="L30" i="12" l="1"/>
  <c r="L40" i="12" s="1"/>
  <c r="N19" i="12"/>
  <c r="N15" i="12"/>
  <c r="N25" i="12"/>
  <c r="N34" i="12" s="1"/>
  <c r="M16" i="12"/>
  <c r="P2" i="12"/>
  <c r="O28" i="12"/>
  <c r="M26" i="12"/>
  <c r="M32" i="12" s="1"/>
  <c r="O39" i="12"/>
  <c r="M34" i="12"/>
  <c r="O19" i="12" l="1"/>
  <c r="O15" i="12"/>
  <c r="O25" i="12"/>
  <c r="P28" i="12"/>
  <c r="Q2" i="12"/>
  <c r="N16" i="12"/>
  <c r="P39" i="12"/>
  <c r="M30" i="12"/>
  <c r="M40" i="12" s="1"/>
  <c r="N26" i="12"/>
  <c r="N32" i="12" s="1"/>
  <c r="N30" i="12" l="1"/>
  <c r="N40" i="12" s="1"/>
  <c r="P15" i="12"/>
  <c r="P19" i="12"/>
  <c r="P25" i="12"/>
  <c r="P34" i="12" s="1"/>
  <c r="O34" i="12"/>
  <c r="Q39" i="12"/>
  <c r="O16" i="12"/>
  <c r="R2" i="12"/>
  <c r="Q28" i="12"/>
  <c r="O26" i="12"/>
  <c r="O32" i="12" s="1"/>
  <c r="Q25" i="12" l="1"/>
  <c r="Q34" i="12" s="1"/>
  <c r="Q19" i="12"/>
  <c r="Q15" i="12"/>
  <c r="R28" i="12"/>
  <c r="S2" i="12"/>
  <c r="R39" i="12"/>
  <c r="O30" i="12"/>
  <c r="O40" i="12" s="1"/>
  <c r="P26" i="12"/>
  <c r="P32" i="12" s="1"/>
  <c r="P16" i="12"/>
  <c r="Q26" i="12" l="1"/>
  <c r="Q32" i="12" s="1"/>
  <c r="P30" i="12"/>
  <c r="P40" i="12" s="1"/>
  <c r="R15" i="12"/>
  <c r="R25" i="12"/>
  <c r="R34" i="12" s="1"/>
  <c r="R19" i="12"/>
  <c r="Q16" i="12"/>
  <c r="S39" i="12"/>
  <c r="T2" i="12"/>
  <c r="S28" i="12"/>
  <c r="Q30" i="12" l="1"/>
  <c r="Q40" i="12" s="1"/>
  <c r="R26" i="12"/>
  <c r="R32" i="12" s="1"/>
  <c r="S19" i="12"/>
  <c r="S25" i="12"/>
  <c r="S34" i="12" s="1"/>
  <c r="S15" i="12"/>
  <c r="U2" i="12"/>
  <c r="T28" i="12"/>
  <c r="T39" i="12"/>
  <c r="R16" i="12"/>
  <c r="R30" i="12" l="1"/>
  <c r="R40" i="12" s="1"/>
  <c r="S26" i="12"/>
  <c r="S32" i="12" s="1"/>
  <c r="U28" i="12"/>
  <c r="V2" i="12"/>
  <c r="V28" i="12" s="1"/>
  <c r="S16" i="12"/>
  <c r="U39" i="12"/>
  <c r="T19" i="12"/>
  <c r="T25" i="12"/>
  <c r="T34" i="12" s="1"/>
  <c r="T15" i="12"/>
  <c r="S30" i="12" l="1"/>
  <c r="S40" i="12" s="1"/>
  <c r="T26" i="12"/>
  <c r="T32" i="12" s="1"/>
  <c r="T16" i="12"/>
  <c r="V39" i="12"/>
  <c r="V25" i="12"/>
  <c r="V19" i="12"/>
  <c r="V15" i="12"/>
  <c r="U15" i="12"/>
  <c r="U25" i="12"/>
  <c r="U34" i="12" s="1"/>
  <c r="U19" i="12"/>
  <c r="T30" i="12" l="1"/>
  <c r="T40" i="12" s="1"/>
  <c r="U26" i="12"/>
  <c r="U32" i="12" s="1"/>
  <c r="V26" i="12"/>
  <c r="V32" i="12" s="1"/>
  <c r="D32" i="12" s="1" a="1"/>
  <c r="U16" i="12"/>
  <c r="V16" i="12"/>
  <c r="D24" i="12" a="1"/>
  <c r="D24" i="12" s="1"/>
  <c r="D14" i="12" a="1"/>
  <c r="D14" i="12" s="1"/>
  <c r="D31" i="12" a="1"/>
  <c r="D31" i="12" s="1"/>
  <c r="D22" i="12" a="1"/>
  <c r="D22" i="12" s="1"/>
  <c r="D10" i="12" a="1"/>
  <c r="D10" i="12" s="1"/>
  <c r="D7" i="12" a="1"/>
  <c r="D7" i="12" s="1"/>
  <c r="D9" i="12" a="1"/>
  <c r="D9" i="12" s="1"/>
  <c r="D8" i="12" a="1"/>
  <c r="D8" i="12" s="1"/>
  <c r="D21" i="12" a="1"/>
  <c r="D21" i="12" s="1"/>
  <c r="D23" i="12" a="1"/>
  <c r="D23" i="12" s="1"/>
  <c r="V34" i="12"/>
  <c r="D34" i="12" s="1" a="1"/>
  <c r="D34" i="12" s="1"/>
  <c r="D25" i="12" a="1"/>
  <c r="D25" i="12" s="1"/>
  <c r="V30" i="12" l="1"/>
  <c r="V40" i="12" s="1"/>
  <c r="U30" i="12"/>
  <c r="U40" i="12" s="1"/>
  <c r="D32" i="12"/>
  <c r="D11" i="12"/>
  <c r="C41" i="12" l="1"/>
  <c r="C14" i="21" s="1"/>
</calcChain>
</file>

<file path=xl/sharedStrings.xml><?xml version="1.0" encoding="utf-8"?>
<sst xmlns="http://schemas.openxmlformats.org/spreadsheetml/2006/main" count="114" uniqueCount="68">
  <si>
    <t>Results</t>
  </si>
  <si>
    <t>Total</t>
  </si>
  <si>
    <t>Discount factor</t>
  </si>
  <si>
    <t>Discount rate</t>
  </si>
  <si>
    <t>Development costs</t>
  </si>
  <si>
    <t>Marketing costs</t>
  </si>
  <si>
    <t>Launch costs</t>
  </si>
  <si>
    <t>Ongoing expenditure (% of sales)</t>
  </si>
  <si>
    <t>Revenue</t>
  </si>
  <si>
    <t>Total Free Cash Flow</t>
  </si>
  <si>
    <t>Basic parameters</t>
  </si>
  <si>
    <t>Phase 1 success</t>
  </si>
  <si>
    <t>Phase 2 success</t>
  </si>
  <si>
    <t>Phase 3 success</t>
  </si>
  <si>
    <t>FDA approval</t>
  </si>
  <si>
    <t>Free Cash Flow</t>
  </si>
  <si>
    <t>Net Present Value</t>
  </si>
  <si>
    <t>Phase 1</t>
  </si>
  <si>
    <t>Phase 2</t>
  </si>
  <si>
    <t>Phase 3</t>
  </si>
  <si>
    <t>Registration</t>
  </si>
  <si>
    <t>COGS (% of sales)</t>
  </si>
  <si>
    <t>Patent expiry</t>
  </si>
  <si>
    <t>Start year</t>
  </si>
  <si>
    <t>Data</t>
  </si>
  <si>
    <t>Other costs</t>
  </si>
  <si>
    <t xml:space="preserve">Manufacturing </t>
  </si>
  <si>
    <t>Royalties</t>
  </si>
  <si>
    <t>Milestone payments</t>
  </si>
  <si>
    <t>Royalty rate</t>
  </si>
  <si>
    <t>Total NPV</t>
  </si>
  <si>
    <t>Peak sales</t>
  </si>
  <si>
    <t>Years to peak</t>
  </si>
  <si>
    <t>Launch year</t>
  </si>
  <si>
    <t>PV free cash flow by year</t>
  </si>
  <si>
    <t>PV</t>
  </si>
  <si>
    <t>Free cash flow post launch</t>
  </si>
  <si>
    <t>Free cash flow through launch</t>
  </si>
  <si>
    <t>Input switches</t>
  </si>
  <si>
    <t>Develop</t>
  </si>
  <si>
    <t>Market share</t>
  </si>
  <si>
    <t>Low</t>
  </si>
  <si>
    <t>Nominal</t>
  </si>
  <si>
    <t>High</t>
  </si>
  <si>
    <t>Market size</t>
  </si>
  <si>
    <t>Key competitor outcome</t>
  </si>
  <si>
    <t>Pricing</t>
  </si>
  <si>
    <t>Key competitor effect (revenue loss)</t>
  </si>
  <si>
    <t>Failure</t>
  </si>
  <si>
    <t>Disappointment</t>
  </si>
  <si>
    <t>Breakthrough</t>
  </si>
  <si>
    <t>Pricing effect (multiplier)</t>
  </si>
  <si>
    <t>Adjusted peak sales</t>
  </si>
  <si>
    <t>Royalties and milestone payments</t>
  </si>
  <si>
    <t>Phase 1 success payment</t>
  </si>
  <si>
    <t>Phase 2 success payment</t>
  </si>
  <si>
    <t>Phase 3 success payment</t>
  </si>
  <si>
    <t>Registration success payment</t>
  </si>
  <si>
    <t>Licensor Free Cash Flow</t>
  </si>
  <si>
    <t>Base Case</t>
  </si>
  <si>
    <t>Probabilities</t>
  </si>
  <si>
    <t>Success - once a day</t>
  </si>
  <si>
    <t>Success - twice a day</t>
  </si>
  <si>
    <t>Market share given dosing</t>
  </si>
  <si>
    <t>Once a day</t>
  </si>
  <si>
    <t>Twice a day</t>
  </si>
  <si>
    <t>Failure (required for completeness, but not used)</t>
  </si>
  <si>
    <t>Total value ($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</si>
</sst>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70" formatCode="_-&quot;£&quot;* #,##0.00_-;\-&quot;£&quot;* #,##0.00_-;_-&quot;£&quot;* &quot;-&quot;??_-;_-@_-"/>
    <numFmt numFmtId="179" formatCode="_-* #,##0.00\ _D_M_-;\-* #,##0.00\ _D_M_-;_-* &quot;-&quot;??\ _D_M_-;_-@_-"/>
    <numFmt numFmtId="181" formatCode="yyyy"/>
    <numFmt numFmtId="182" formatCode="#,##0_ ;\-#,##0\ "/>
    <numFmt numFmtId="183" formatCode="#,##0.0"/>
    <numFmt numFmtId="184" formatCode="0.0%"/>
    <numFmt numFmtId="185" formatCode="#,##0.00000"/>
    <numFmt numFmtId="186" formatCode="0.000"/>
    <numFmt numFmtId="187" formatCode="#,##0.000"/>
    <numFmt numFmtId="188" formatCode="#,##0.0_);\(#,##0.0\)"/>
    <numFmt numFmtId="189" formatCode="#,##0.000_);\(#,##0.000\)"/>
    <numFmt numFmtId="190" formatCode="General_)"/>
    <numFmt numFmtId="191" formatCode="\U\S\$#,##0.00;\(\U\S\$#,##0.00\)"/>
    <numFmt numFmtId="192" formatCode="\(0.00%"/>
    <numFmt numFmtId="193" formatCode="0.00%\)"/>
    <numFmt numFmtId="194" formatCode="\U\S\$0"/>
    <numFmt numFmtId="207" formatCode="_(* #,##0.0_);_(* \(#,##0.0\);_(* &quot;-&quot;?_);_(@_)"/>
    <numFmt numFmtId="211" formatCode="_(* #,##0_);_(* \(#,##0\);_(* &quot;-&quot;??_);_(@_)"/>
    <numFmt numFmtId="212" formatCode="&quot;$&quot;#,##0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name val="Arial"/>
      <family val="2"/>
    </font>
    <font>
      <b/>
      <sz val="10"/>
      <color indexed="42"/>
      <name val="Arial"/>
      <family val="2"/>
    </font>
    <font>
      <sz val="11"/>
      <name val="Univers"/>
    </font>
    <font>
      <sz val="9"/>
      <name val="Times New Roman"/>
      <family val="1"/>
    </font>
    <font>
      <sz val="10"/>
      <name val="Courier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7"/>
      <name val="Small Fonts"/>
    </font>
    <font>
      <sz val="12"/>
      <color indexed="8"/>
      <name val="Times New Roman"/>
      <family val="1"/>
    </font>
    <font>
      <sz val="10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4">
    <xf numFmtId="0" fontId="0" fillId="0" borderId="0"/>
    <xf numFmtId="6" fontId="7" fillId="0" borderId="0"/>
    <xf numFmtId="6" fontId="7" fillId="0" borderId="0"/>
    <xf numFmtId="181" fontId="1" fillId="0" borderId="0" applyFill="0" applyBorder="0" applyAlignment="0"/>
    <xf numFmtId="190" fontId="8" fillId="0" borderId="0" applyFill="0" applyBorder="0" applyAlignment="0"/>
    <xf numFmtId="186" fontId="8" fillId="0" borderId="0" applyFill="0" applyBorder="0" applyAlignment="0"/>
    <xf numFmtId="188" fontId="9" fillId="0" borderId="0" applyFill="0" applyBorder="0" applyAlignment="0"/>
    <xf numFmtId="189" fontId="9" fillId="0" borderId="0" applyFill="0" applyBorder="0" applyAlignment="0"/>
    <xf numFmtId="181" fontId="1" fillId="0" borderId="0" applyFill="0" applyBorder="0" applyAlignment="0"/>
    <xf numFmtId="192" fontId="1" fillId="0" borderId="0" applyFill="0" applyBorder="0" applyAlignment="0"/>
    <xf numFmtId="190" fontId="8" fillId="0" borderId="0" applyFill="0" applyBorder="0" applyAlignment="0"/>
    <xf numFmtId="18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90" fontId="8" fillId="0" borderId="0" applyFont="0" applyFill="0" applyBorder="0" applyAlignment="0" applyProtection="0"/>
    <xf numFmtId="14" fontId="10" fillId="0" borderId="0" applyFill="0" applyBorder="0" applyAlignment="0"/>
    <xf numFmtId="191" fontId="1" fillId="0" borderId="1">
      <alignment vertical="center"/>
    </xf>
    <xf numFmtId="179" fontId="7" fillId="0" borderId="0" applyFont="0" applyFill="0" applyBorder="0" applyAlignment="0" applyProtection="0"/>
    <xf numFmtId="188" fontId="2" fillId="0" borderId="2" applyNumberFormat="0"/>
    <xf numFmtId="43" fontId="7" fillId="0" borderId="2" applyAlignment="0"/>
    <xf numFmtId="181" fontId="1" fillId="0" borderId="0" applyFill="0" applyBorder="0" applyAlignment="0"/>
    <xf numFmtId="190" fontId="8" fillId="0" borderId="0" applyFill="0" applyBorder="0" applyAlignment="0"/>
    <xf numFmtId="181" fontId="1" fillId="0" borderId="0" applyFill="0" applyBorder="0" applyAlignment="0"/>
    <xf numFmtId="192" fontId="1" fillId="0" borderId="0" applyFill="0" applyBorder="0" applyAlignment="0"/>
    <xf numFmtId="190" fontId="8" fillId="0" borderId="0" applyFill="0" applyBorder="0" applyAlignment="0"/>
    <xf numFmtId="38" fontId="11" fillId="2" borderId="0" applyNumberFormat="0" applyBorder="0" applyAlignment="0" applyProtection="0"/>
    <xf numFmtId="0" fontId="12" fillId="0" borderId="3" applyNumberFormat="0" applyAlignment="0" applyProtection="0">
      <alignment horizontal="left" vertical="center"/>
    </xf>
    <xf numFmtId="0" fontId="12" fillId="0" borderId="4">
      <alignment horizontal="left" vertical="center"/>
    </xf>
    <xf numFmtId="6" fontId="7" fillId="0" borderId="0"/>
    <xf numFmtId="10" fontId="11" fillId="3" borderId="5" applyNumberFormat="0" applyBorder="0" applyAlignment="0" applyProtection="0"/>
    <xf numFmtId="6" fontId="7" fillId="0" borderId="0"/>
    <xf numFmtId="181" fontId="1" fillId="0" borderId="0" applyFill="0" applyBorder="0" applyAlignment="0"/>
    <xf numFmtId="190" fontId="8" fillId="0" borderId="0" applyFill="0" applyBorder="0" applyAlignment="0"/>
    <xf numFmtId="181" fontId="1" fillId="0" borderId="0" applyFill="0" applyBorder="0" applyAlignment="0"/>
    <xf numFmtId="192" fontId="1" fillId="0" borderId="0" applyFill="0" applyBorder="0" applyAlignment="0"/>
    <xf numFmtId="190" fontId="8" fillId="0" borderId="0" applyFill="0" applyBorder="0" applyAlignment="0"/>
    <xf numFmtId="37" fontId="13" fillId="0" borderId="0"/>
    <xf numFmtId="194" fontId="1" fillId="0" borderId="0"/>
    <xf numFmtId="0" fontId="14" fillId="4" borderId="0"/>
    <xf numFmtId="9" fontId="1" fillId="0" borderId="0" applyFont="0" applyFill="0" applyBorder="0" applyAlignment="0" applyProtection="0"/>
    <xf numFmtId="189" fontId="9" fillId="0" borderId="0" applyFont="0" applyFill="0" applyBorder="0" applyAlignment="0" applyProtection="0"/>
    <xf numFmtId="187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81" fontId="1" fillId="0" borderId="0" applyFill="0" applyBorder="0" applyAlignment="0"/>
    <xf numFmtId="190" fontId="8" fillId="0" borderId="0" applyFill="0" applyBorder="0" applyAlignment="0"/>
    <xf numFmtId="181" fontId="1" fillId="0" borderId="0" applyFill="0" applyBorder="0" applyAlignment="0"/>
    <xf numFmtId="192" fontId="1" fillId="0" borderId="0" applyFill="0" applyBorder="0" applyAlignment="0"/>
    <xf numFmtId="190" fontId="8" fillId="0" borderId="0" applyFill="0" applyBorder="0" applyAlignment="0"/>
    <xf numFmtId="0" fontId="7" fillId="0" borderId="0"/>
    <xf numFmtId="49" fontId="10" fillId="0" borderId="0" applyFill="0" applyBorder="0" applyAlignment="0"/>
    <xf numFmtId="0" fontId="1" fillId="0" borderId="0" applyFill="0" applyBorder="0" applyAlignment="0"/>
    <xf numFmtId="193" fontId="1" fillId="0" borderId="0" applyFill="0" applyBorder="0" applyAlignment="0"/>
    <xf numFmtId="185" fontId="7" fillId="0" borderId="6" applyFill="0" applyAlignment="0" applyProtection="0"/>
    <xf numFmtId="0" fontId="2" fillId="0" borderId="0"/>
    <xf numFmtId="0" fontId="2" fillId="0" borderId="0" applyFont="0" applyFill="0" applyBorder="0" applyAlignment="0" applyProtection="0"/>
  </cellStyleXfs>
  <cellXfs count="141">
    <xf numFmtId="0" fontId="0" fillId="0" borderId="0" xfId="0"/>
    <xf numFmtId="0" fontId="5" fillId="0" borderId="7" xfId="47" applyFont="1" applyBorder="1" applyAlignment="1">
      <alignment horizontal="left" indent="1"/>
    </xf>
    <xf numFmtId="0" fontId="2" fillId="0" borderId="0" xfId="47" applyFont="1" applyBorder="1"/>
    <xf numFmtId="3" fontId="5" fillId="0" borderId="8" xfId="47" applyNumberFormat="1" applyFont="1" applyFill="1" applyBorder="1" applyAlignment="1" applyProtection="1">
      <alignment horizontal="center"/>
    </xf>
    <xf numFmtId="3" fontId="2" fillId="0" borderId="6" xfId="47" applyNumberFormat="1" applyFont="1" applyFill="1" applyBorder="1" applyAlignment="1" applyProtection="1">
      <alignment horizontal="center"/>
    </xf>
    <xf numFmtId="3" fontId="2" fillId="0" borderId="0" xfId="47" applyNumberFormat="1" applyFont="1" applyFill="1" applyBorder="1" applyAlignment="1" applyProtection="1">
      <alignment horizontal="center"/>
    </xf>
    <xf numFmtId="0" fontId="2" fillId="5" borderId="0" xfId="47" applyFont="1" applyFill="1" applyBorder="1" applyAlignment="1" applyProtection="1"/>
    <xf numFmtId="3" fontId="2" fillId="5" borderId="0" xfId="47" applyNumberFormat="1" applyFont="1" applyFill="1" applyBorder="1" applyAlignment="1" applyProtection="1">
      <alignment horizontal="center"/>
    </xf>
    <xf numFmtId="3" fontId="4" fillId="5" borderId="0" xfId="47" applyNumberFormat="1" applyFont="1" applyFill="1" applyBorder="1" applyAlignment="1" applyProtection="1">
      <alignment horizontal="center"/>
    </xf>
    <xf numFmtId="182" fontId="4" fillId="5" borderId="0" xfId="16" applyNumberFormat="1" applyFont="1" applyFill="1" applyBorder="1" applyAlignment="1" applyProtection="1">
      <alignment horizontal="center"/>
    </xf>
    <xf numFmtId="182" fontId="2" fillId="5" borderId="0" xfId="16" applyNumberFormat="1" applyFont="1" applyFill="1" applyBorder="1" applyAlignment="1" applyProtection="1">
      <alignment horizontal="center"/>
    </xf>
    <xf numFmtId="182" fontId="2" fillId="5" borderId="0" xfId="16" applyNumberFormat="1" applyFont="1" applyFill="1"/>
    <xf numFmtId="0" fontId="2" fillId="5" borderId="0" xfId="47" applyFont="1" applyFill="1"/>
    <xf numFmtId="0" fontId="2" fillId="5" borderId="0" xfId="47" applyFont="1" applyFill="1" applyAlignment="1" applyProtection="1"/>
    <xf numFmtId="0" fontId="2" fillId="5" borderId="0" xfId="47" applyFont="1" applyFill="1" applyAlignment="1" applyProtection="1">
      <alignment horizontal="center"/>
    </xf>
    <xf numFmtId="0" fontId="5" fillId="5" borderId="0" xfId="47" applyFont="1" applyFill="1" applyBorder="1" applyAlignment="1" applyProtection="1"/>
    <xf numFmtId="0" fontId="2" fillId="0" borderId="0" xfId="47" applyFont="1" applyFill="1" applyBorder="1" applyAlignment="1" applyProtection="1">
      <alignment horizontal="center"/>
    </xf>
    <xf numFmtId="183" fontId="2" fillId="0" borderId="0" xfId="47" applyNumberFormat="1" applyFont="1" applyFill="1" applyBorder="1" applyAlignment="1" applyProtection="1">
      <alignment horizontal="center"/>
    </xf>
    <xf numFmtId="0" fontId="2" fillId="4" borderId="0" xfId="47" applyFont="1" applyFill="1" applyBorder="1" applyAlignment="1" applyProtection="1">
      <alignment horizontal="center"/>
    </xf>
    <xf numFmtId="2" fontId="2" fillId="0" borderId="0" xfId="47" applyNumberFormat="1" applyFont="1" applyFill="1" applyBorder="1" applyAlignment="1" applyProtection="1">
      <alignment horizontal="center"/>
    </xf>
    <xf numFmtId="3" fontId="2" fillId="5" borderId="0" xfId="47" quotePrefix="1" applyNumberFormat="1" applyFont="1" applyFill="1" applyBorder="1" applyAlignment="1" applyProtection="1"/>
    <xf numFmtId="0" fontId="2" fillId="5" borderId="0" xfId="47" applyFont="1" applyFill="1" applyBorder="1" applyAlignment="1" applyProtection="1">
      <alignment horizontal="center"/>
    </xf>
    <xf numFmtId="3" fontId="2" fillId="5" borderId="0" xfId="47" applyNumberFormat="1" applyFont="1" applyFill="1" applyAlignment="1" applyProtection="1"/>
    <xf numFmtId="3" fontId="2" fillId="0" borderId="6" xfId="38" applyNumberFormat="1" applyFont="1" applyBorder="1"/>
    <xf numFmtId="0" fontId="2" fillId="0" borderId="9" xfId="47" applyFont="1" applyBorder="1" applyAlignment="1">
      <alignment horizontal="left" indent="1"/>
    </xf>
    <xf numFmtId="0" fontId="2" fillId="0" borderId="6" xfId="47" applyFont="1" applyBorder="1"/>
    <xf numFmtId="10" fontId="2" fillId="0" borderId="6" xfId="38" applyNumberFormat="1" applyFont="1" applyBorder="1"/>
    <xf numFmtId="0" fontId="2" fillId="5" borderId="0" xfId="47" applyNumberFormat="1" applyFont="1" applyFill="1" applyAlignment="1" applyProtection="1"/>
    <xf numFmtId="0" fontId="2" fillId="5" borderId="0" xfId="47" applyNumberFormat="1" applyFont="1" applyFill="1" applyAlignment="1" applyProtection="1">
      <alignment horizontal="center"/>
    </xf>
    <xf numFmtId="0" fontId="2" fillId="5" borderId="0" xfId="47" applyNumberFormat="1" applyFont="1" applyFill="1"/>
    <xf numFmtId="0" fontId="2" fillId="5" borderId="0" xfId="0" applyNumberFormat="1" applyFont="1" applyFill="1" applyBorder="1" applyAlignment="1">
      <alignment wrapText="1"/>
    </xf>
    <xf numFmtId="0" fontId="2" fillId="5" borderId="0" xfId="47" applyNumberFormat="1" applyFont="1" applyFill="1" applyBorder="1" applyAlignment="1" applyProtection="1"/>
    <xf numFmtId="0" fontId="2" fillId="5" borderId="0" xfId="47" applyNumberFormat="1" applyFont="1" applyFill="1" applyBorder="1" applyAlignment="1" applyProtection="1">
      <alignment horizontal="center"/>
    </xf>
    <xf numFmtId="0" fontId="4" fillId="5" borderId="0" xfId="47" applyNumberFormat="1" applyFont="1" applyFill="1" applyBorder="1" applyAlignment="1" applyProtection="1">
      <alignment horizontal="center"/>
    </xf>
    <xf numFmtId="0" fontId="2" fillId="0" borderId="7" xfId="47" applyFont="1" applyBorder="1" applyAlignment="1">
      <alignment horizontal="left" indent="2"/>
    </xf>
    <xf numFmtId="0" fontId="2" fillId="0" borderId="7" xfId="47" quotePrefix="1" applyFont="1" applyBorder="1" applyAlignment="1">
      <alignment horizontal="left" indent="2"/>
    </xf>
    <xf numFmtId="183" fontId="2" fillId="0" borderId="0" xfId="47" applyNumberFormat="1" applyFont="1" applyBorder="1"/>
    <xf numFmtId="0" fontId="5" fillId="0" borderId="7" xfId="0" applyFont="1" applyFill="1" applyBorder="1" applyAlignment="1" applyProtection="1">
      <alignment horizontal="left" indent="1"/>
    </xf>
    <xf numFmtId="0" fontId="5" fillId="0" borderId="0" xfId="0" quotePrefix="1" applyFont="1" applyFill="1" applyBorder="1" applyAlignment="1" applyProtection="1"/>
    <xf numFmtId="0" fontId="2" fillId="0" borderId="0" xfId="0" applyFont="1" applyFill="1" applyBorder="1" applyAlignment="1" applyProtection="1"/>
    <xf numFmtId="2" fontId="2" fillId="0" borderId="0" xfId="38" applyNumberFormat="1" applyFont="1" applyFill="1" applyBorder="1" applyAlignment="1" applyProtection="1">
      <alignment horizontal="right"/>
    </xf>
    <xf numFmtId="184" fontId="2" fillId="0" borderId="0" xfId="38" applyNumberFormat="1" applyFont="1" applyFill="1" applyBorder="1" applyAlignment="1" applyProtection="1">
      <alignment horizontal="left"/>
    </xf>
    <xf numFmtId="183" fontId="5" fillId="0" borderId="6" xfId="47" applyNumberFormat="1" applyFont="1" applyFill="1" applyBorder="1" applyAlignment="1" applyProtection="1">
      <alignment horizontal="centerContinuous" vertical="center"/>
    </xf>
    <xf numFmtId="0" fontId="2" fillId="0" borderId="6" xfId="47" applyFont="1" applyFill="1" applyBorder="1" applyAlignment="1" applyProtection="1">
      <alignment horizontal="center"/>
    </xf>
    <xf numFmtId="3" fontId="5" fillId="0" borderId="6" xfId="47" applyNumberFormat="1" applyFont="1" applyFill="1" applyBorder="1" applyAlignment="1" applyProtection="1">
      <alignment horizontal="left" indent="1"/>
    </xf>
    <xf numFmtId="1" fontId="5" fillId="6" borderId="5" xfId="38" applyNumberFormat="1" applyFont="1" applyFill="1" applyBorder="1" applyAlignment="1">
      <alignment horizontal="center"/>
    </xf>
    <xf numFmtId="1" fontId="5" fillId="7" borderId="5" xfId="38" applyNumberFormat="1" applyFont="1" applyFill="1" applyBorder="1" applyAlignment="1">
      <alignment horizontal="center"/>
    </xf>
    <xf numFmtId="0" fontId="2" fillId="0" borderId="0" xfId="47" applyNumberFormat="1" applyFont="1" applyBorder="1"/>
    <xf numFmtId="0" fontId="5" fillId="0" borderId="0" xfId="47" applyNumberFormat="1" applyFont="1" applyBorder="1"/>
    <xf numFmtId="0" fontId="5" fillId="0" borderId="0" xfId="47" applyNumberFormat="1" applyFont="1" applyFill="1" applyBorder="1"/>
    <xf numFmtId="0" fontId="2" fillId="0" borderId="0" xfId="38" applyNumberFormat="1" applyFont="1" applyFill="1" applyBorder="1" applyAlignment="1" applyProtection="1">
      <alignment horizontal="center" wrapText="1"/>
    </xf>
    <xf numFmtId="0" fontId="2" fillId="0" borderId="6" xfId="47" applyNumberFormat="1" applyFont="1" applyBorder="1"/>
    <xf numFmtId="9" fontId="5" fillId="8" borderId="5" xfId="38" applyFont="1" applyFill="1" applyBorder="1" applyAlignment="1">
      <alignment horizontal="center"/>
    </xf>
    <xf numFmtId="0" fontId="5" fillId="8" borderId="5" xfId="38" applyNumberFormat="1" applyFont="1" applyFill="1" applyBorder="1" applyAlignment="1">
      <alignment horizontal="center"/>
    </xf>
    <xf numFmtId="0" fontId="6" fillId="9" borderId="10" xfId="47" applyNumberFormat="1" applyFont="1" applyFill="1" applyBorder="1" applyAlignment="1" applyProtection="1">
      <alignment horizontal="center"/>
    </xf>
    <xf numFmtId="0" fontId="6" fillId="9" borderId="4" xfId="47" applyNumberFormat="1" applyFont="1" applyFill="1" applyBorder="1" applyAlignment="1" applyProtection="1">
      <alignment horizontal="center"/>
    </xf>
    <xf numFmtId="0" fontId="3" fillId="9" borderId="4" xfId="47" applyNumberFormat="1" applyFont="1" applyFill="1" applyBorder="1" applyAlignment="1" applyProtection="1">
      <alignment horizontal="center"/>
    </xf>
    <xf numFmtId="0" fontId="3" fillId="9" borderId="11" xfId="47" applyNumberFormat="1" applyFont="1" applyFill="1" applyBorder="1" applyAlignment="1" applyProtection="1">
      <alignment horizontal="center"/>
    </xf>
    <xf numFmtId="3" fontId="3" fillId="9" borderId="10" xfId="47" applyNumberFormat="1" applyFont="1" applyFill="1" applyBorder="1" applyAlignment="1" applyProtection="1">
      <alignment horizontal="left" indent="1"/>
    </xf>
    <xf numFmtId="3" fontId="3" fillId="9" borderId="4" xfId="47" quotePrefix="1" applyNumberFormat="1" applyFont="1" applyFill="1" applyBorder="1" applyAlignment="1" applyProtection="1">
      <alignment horizontal="left" indent="1"/>
    </xf>
    <xf numFmtId="3" fontId="3" fillId="9" borderId="11" xfId="47" quotePrefix="1" applyNumberFormat="1" applyFont="1" applyFill="1" applyBorder="1" applyAlignment="1" applyProtection="1">
      <alignment horizontal="left" indent="1"/>
    </xf>
    <xf numFmtId="184" fontId="2" fillId="0" borderId="8" xfId="38" applyNumberFormat="1" applyFont="1" applyFill="1" applyBorder="1" applyAlignment="1" applyProtection="1">
      <alignment horizontal="right"/>
    </xf>
    <xf numFmtId="2" fontId="2" fillId="0" borderId="8" xfId="38" applyNumberFormat="1" applyFont="1" applyFill="1" applyBorder="1" applyAlignment="1" applyProtection="1">
      <alignment horizontal="right"/>
    </xf>
    <xf numFmtId="3" fontId="2" fillId="0" borderId="12" xfId="38" applyNumberFormat="1" applyFont="1" applyBorder="1"/>
    <xf numFmtId="3" fontId="3" fillId="9" borderId="4" xfId="47" applyNumberFormat="1" applyFont="1" applyFill="1" applyBorder="1" applyAlignment="1" applyProtection="1">
      <alignment horizontal="center"/>
    </xf>
    <xf numFmtId="3" fontId="3" fillId="9" borderId="11" xfId="47" applyNumberFormat="1" applyFont="1" applyFill="1" applyBorder="1" applyAlignment="1" applyProtection="1">
      <alignment horizontal="center"/>
    </xf>
    <xf numFmtId="3" fontId="2" fillId="0" borderId="7" xfId="47" applyNumberFormat="1" applyFont="1" applyFill="1" applyBorder="1" applyAlignment="1" applyProtection="1">
      <alignment horizontal="left" indent="1"/>
    </xf>
    <xf numFmtId="0" fontId="2" fillId="4" borderId="8" xfId="47" applyFont="1" applyFill="1" applyBorder="1" applyAlignment="1" applyProtection="1">
      <alignment horizontal="center"/>
    </xf>
    <xf numFmtId="2" fontId="2" fillId="0" borderId="8" xfId="47" applyNumberFormat="1" applyFont="1" applyFill="1" applyBorder="1" applyAlignment="1" applyProtection="1">
      <alignment horizontal="center"/>
    </xf>
    <xf numFmtId="3" fontId="2" fillId="0" borderId="9" xfId="47" quotePrefix="1" applyNumberFormat="1" applyFont="1" applyFill="1" applyBorder="1" applyAlignment="1" applyProtection="1"/>
    <xf numFmtId="0" fontId="2" fillId="0" borderId="12" xfId="47" applyFont="1" applyFill="1" applyBorder="1" applyAlignment="1" applyProtection="1">
      <alignment horizontal="center"/>
    </xf>
    <xf numFmtId="0" fontId="2" fillId="0" borderId="8" xfId="47" applyFont="1" applyFill="1" applyBorder="1" applyAlignment="1" applyProtection="1">
      <alignment horizontal="center"/>
    </xf>
    <xf numFmtId="3" fontId="5" fillId="0" borderId="7" xfId="47" applyNumberFormat="1" applyFont="1" applyFill="1" applyBorder="1" applyAlignment="1" applyProtection="1">
      <alignment horizontal="left" indent="1"/>
    </xf>
    <xf numFmtId="3" fontId="5" fillId="0" borderId="9" xfId="47" applyNumberFormat="1" applyFont="1" applyFill="1" applyBorder="1" applyAlignment="1" applyProtection="1">
      <alignment horizontal="left" indent="1"/>
    </xf>
    <xf numFmtId="183" fontId="5" fillId="0" borderId="12" xfId="47" applyNumberFormat="1" applyFont="1" applyFill="1" applyBorder="1" applyAlignment="1" applyProtection="1">
      <alignment horizontal="centerContinuous" vertical="center"/>
    </xf>
    <xf numFmtId="3" fontId="15" fillId="9" borderId="4" xfId="47" applyNumberFormat="1" applyFont="1" applyFill="1" applyBorder="1" applyAlignment="1" applyProtection="1">
      <alignment horizontal="center"/>
    </xf>
    <xf numFmtId="3" fontId="15" fillId="9" borderId="11" xfId="47" applyNumberFormat="1" applyFont="1" applyFill="1" applyBorder="1" applyAlignment="1" applyProtection="1">
      <alignment horizontal="center"/>
    </xf>
    <xf numFmtId="3" fontId="2" fillId="0" borderId="7" xfId="47" quotePrefix="1" applyNumberFormat="1" applyFont="1" applyFill="1" applyBorder="1" applyAlignment="1" applyProtection="1">
      <alignment horizontal="left" indent="2"/>
    </xf>
    <xf numFmtId="183" fontId="2" fillId="0" borderId="8" xfId="47" applyNumberFormat="1" applyFont="1" applyFill="1" applyBorder="1" applyAlignment="1" applyProtection="1">
      <alignment horizontal="center"/>
    </xf>
    <xf numFmtId="0" fontId="2" fillId="0" borderId="7" xfId="0" applyFont="1" applyBorder="1" applyAlignment="1">
      <alignment horizontal="left" indent="1"/>
    </xf>
    <xf numFmtId="3" fontId="2" fillId="0" borderId="9" xfId="47" applyNumberFormat="1" applyFont="1" applyFill="1" applyBorder="1" applyAlignment="1" applyProtection="1">
      <alignment horizontal="left" indent="1"/>
    </xf>
    <xf numFmtId="184" fontId="2" fillId="0" borderId="6" xfId="38" applyNumberFormat="1" applyFont="1" applyFill="1" applyBorder="1" applyAlignment="1" applyProtection="1">
      <alignment horizontal="center"/>
    </xf>
    <xf numFmtId="183" fontId="2" fillId="0" borderId="6" xfId="47" applyNumberFormat="1" applyFont="1" applyFill="1" applyBorder="1" applyAlignment="1" applyProtection="1">
      <alignment horizontal="center"/>
    </xf>
    <xf numFmtId="183" fontId="2" fillId="0" borderId="12" xfId="47" applyNumberFormat="1" applyFont="1" applyFill="1" applyBorder="1" applyAlignment="1" applyProtection="1">
      <alignment horizontal="center"/>
    </xf>
    <xf numFmtId="0" fontId="2" fillId="8" borderId="10" xfId="47" applyFont="1" applyFill="1" applyBorder="1" applyAlignment="1" applyProtection="1">
      <alignment horizontal="center"/>
    </xf>
    <xf numFmtId="0" fontId="2" fillId="8" borderId="4" xfId="47" applyFont="1" applyFill="1" applyBorder="1" applyAlignment="1" applyProtection="1">
      <alignment horizontal="center"/>
    </xf>
    <xf numFmtId="0" fontId="2" fillId="8" borderId="11" xfId="47" applyFont="1" applyFill="1" applyBorder="1" applyAlignment="1" applyProtection="1">
      <alignment horizontal="center"/>
    </xf>
    <xf numFmtId="0" fontId="2" fillId="0" borderId="7" xfId="0" applyFont="1" applyBorder="1" applyAlignment="1">
      <alignment horizontal="left" indent="2"/>
    </xf>
    <xf numFmtId="41" fontId="2" fillId="0" borderId="0" xfId="47" applyNumberFormat="1" applyFont="1" applyBorder="1"/>
    <xf numFmtId="41" fontId="5" fillId="0" borderId="0" xfId="47" applyNumberFormat="1" applyFont="1" applyBorder="1"/>
    <xf numFmtId="41" fontId="5" fillId="0" borderId="8" xfId="47" applyNumberFormat="1" applyFont="1" applyBorder="1"/>
    <xf numFmtId="41" fontId="2" fillId="0" borderId="0" xfId="38" applyNumberFormat="1" applyFont="1" applyFill="1" applyBorder="1" applyAlignment="1" applyProtection="1">
      <alignment horizontal="center" wrapText="1"/>
    </xf>
    <xf numFmtId="41" fontId="2" fillId="0" borderId="8" xfId="38" applyNumberFormat="1" applyFont="1" applyFill="1" applyBorder="1" applyAlignment="1" applyProtection="1">
      <alignment horizontal="center" wrapText="1"/>
    </xf>
    <xf numFmtId="41" fontId="2" fillId="0" borderId="6" xfId="47" applyNumberFormat="1" applyFont="1" applyBorder="1"/>
    <xf numFmtId="41" fontId="2" fillId="0" borderId="12" xfId="38" applyNumberFormat="1" applyFont="1" applyBorder="1"/>
    <xf numFmtId="183" fontId="2" fillId="0" borderId="8" xfId="47" applyNumberFormat="1" applyFont="1" applyBorder="1"/>
    <xf numFmtId="183" fontId="2" fillId="0" borderId="6" xfId="47" applyNumberFormat="1" applyFont="1" applyBorder="1"/>
    <xf numFmtId="9" fontId="2" fillId="0" borderId="8" xfId="38" applyFont="1" applyFill="1" applyBorder="1" applyAlignment="1" applyProtection="1"/>
    <xf numFmtId="3" fontId="5" fillId="0" borderId="0" xfId="47" applyNumberFormat="1" applyFont="1" applyFill="1" applyBorder="1" applyAlignment="1" applyProtection="1">
      <alignment horizontal="center"/>
    </xf>
    <xf numFmtId="3" fontId="5" fillId="0" borderId="0" xfId="47" applyNumberFormat="1" applyFont="1" applyFill="1" applyBorder="1" applyAlignment="1" applyProtection="1">
      <alignment horizontal="center" vertical="top" wrapText="1"/>
    </xf>
    <xf numFmtId="184" fontId="2" fillId="0" borderId="0" xfId="38" quotePrefix="1" applyNumberFormat="1" applyFont="1" applyFill="1" applyBorder="1" applyAlignment="1" applyProtection="1"/>
    <xf numFmtId="184" fontId="2" fillId="0" borderId="0" xfId="38" applyNumberFormat="1" applyFont="1" applyFill="1" applyBorder="1" applyAlignment="1" applyProtection="1"/>
    <xf numFmtId="207" fontId="2" fillId="0" borderId="0" xfId="0" applyNumberFormat="1" applyFont="1" applyFill="1" applyBorder="1" applyAlignment="1" applyProtection="1"/>
    <xf numFmtId="211" fontId="2" fillId="0" borderId="0" xfId="38" applyNumberFormat="1" applyFont="1" applyFill="1" applyBorder="1" applyAlignment="1" applyProtection="1">
      <alignment horizontal="center" wrapText="1"/>
    </xf>
    <xf numFmtId="212" fontId="5" fillId="0" borderId="5" xfId="12" applyNumberFormat="1" applyFont="1" applyFill="1" applyBorder="1" applyAlignment="1" applyProtection="1">
      <alignment horizontal="center" wrapText="1"/>
    </xf>
    <xf numFmtId="43" fontId="2" fillId="0" borderId="6" xfId="47" applyNumberFormat="1" applyFont="1" applyBorder="1"/>
    <xf numFmtId="0" fontId="2" fillId="0" borderId="0" xfId="47" applyFont="1" applyFill="1" applyBorder="1" applyAlignment="1" applyProtection="1">
      <alignment horizontal="left"/>
    </xf>
    <xf numFmtId="0" fontId="2" fillId="8" borderId="0" xfId="47" applyFont="1" applyFill="1" applyBorder="1" applyAlignment="1" applyProtection="1">
      <alignment horizontal="center"/>
    </xf>
    <xf numFmtId="0" fontId="2" fillId="8" borderId="13" xfId="47" applyFont="1" applyFill="1" applyBorder="1" applyAlignment="1" applyProtection="1">
      <alignment horizontal="center"/>
    </xf>
    <xf numFmtId="0" fontId="2" fillId="8" borderId="14" xfId="47" applyFont="1" applyFill="1" applyBorder="1" applyAlignment="1" applyProtection="1">
      <alignment horizontal="center"/>
    </xf>
    <xf numFmtId="0" fontId="2" fillId="8" borderId="15" xfId="47" applyFont="1" applyFill="1" applyBorder="1" applyAlignment="1" applyProtection="1">
      <alignment horizontal="center"/>
    </xf>
    <xf numFmtId="0" fontId="2" fillId="8" borderId="7" xfId="47" applyFont="1" applyFill="1" applyBorder="1" applyAlignment="1" applyProtection="1">
      <alignment horizontal="center"/>
    </xf>
    <xf numFmtId="0" fontId="2" fillId="8" borderId="8" xfId="47" applyFont="1" applyFill="1" applyBorder="1" applyAlignment="1" applyProtection="1">
      <alignment horizontal="center"/>
    </xf>
    <xf numFmtId="0" fontId="2" fillId="8" borderId="9" xfId="47" applyFont="1" applyFill="1" applyBorder="1" applyAlignment="1" applyProtection="1">
      <alignment horizontal="center"/>
    </xf>
    <xf numFmtId="0" fontId="2" fillId="8" borderId="6" xfId="47" applyFont="1" applyFill="1" applyBorder="1" applyAlignment="1" applyProtection="1">
      <alignment horizontal="center"/>
    </xf>
    <xf numFmtId="0" fontId="2" fillId="8" borderId="12" xfId="47" applyFont="1" applyFill="1" applyBorder="1" applyAlignment="1" applyProtection="1">
      <alignment horizontal="center"/>
    </xf>
    <xf numFmtId="183" fontId="2" fillId="0" borderId="0" xfId="47" applyNumberFormat="1" applyFont="1" applyFill="1" applyBorder="1" applyAlignment="1" applyProtection="1">
      <alignment horizontal="right"/>
    </xf>
    <xf numFmtId="184" fontId="2" fillId="0" borderId="0" xfId="38" applyNumberFormat="1" applyFont="1" applyFill="1" applyBorder="1" applyAlignment="1" applyProtection="1">
      <alignment horizontal="center"/>
    </xf>
    <xf numFmtId="9" fontId="5" fillId="8" borderId="16" xfId="38" applyFont="1" applyFill="1" applyBorder="1" applyAlignment="1">
      <alignment horizontal="center"/>
    </xf>
    <xf numFmtId="9" fontId="5" fillId="8" borderId="17" xfId="38" applyFont="1" applyFill="1" applyBorder="1" applyAlignment="1">
      <alignment horizontal="center"/>
    </xf>
    <xf numFmtId="9" fontId="5" fillId="8" borderId="18" xfId="38" applyFont="1" applyFill="1" applyBorder="1" applyAlignment="1">
      <alignment horizontal="center"/>
    </xf>
    <xf numFmtId="1" fontId="5" fillId="0" borderId="0" xfId="38" applyNumberFormat="1" applyFont="1" applyFill="1" applyBorder="1" applyAlignment="1">
      <alignment horizontal="center"/>
    </xf>
    <xf numFmtId="0" fontId="2" fillId="0" borderId="7" xfId="47" applyFont="1" applyBorder="1" applyAlignment="1">
      <alignment horizontal="left" indent="3"/>
    </xf>
    <xf numFmtId="212" fontId="5" fillId="8" borderId="16" xfId="12" applyNumberFormat="1" applyFont="1" applyFill="1" applyBorder="1" applyAlignment="1" applyProtection="1">
      <alignment horizontal="center" wrapText="1"/>
    </xf>
    <xf numFmtId="212" fontId="5" fillId="8" borderId="17" xfId="12" applyNumberFormat="1" applyFont="1" applyFill="1" applyBorder="1" applyAlignment="1" applyProtection="1">
      <alignment horizontal="center" wrapText="1"/>
    </xf>
    <xf numFmtId="212" fontId="5" fillId="8" borderId="18" xfId="12" applyNumberFormat="1" applyFont="1" applyFill="1" applyBorder="1" applyAlignment="1" applyProtection="1">
      <alignment horizontal="center" wrapText="1"/>
    </xf>
    <xf numFmtId="0" fontId="2" fillId="0" borderId="9" xfId="47" applyFont="1" applyBorder="1" applyAlignment="1">
      <alignment horizontal="left" indent="2"/>
    </xf>
    <xf numFmtId="9" fontId="2" fillId="0" borderId="0" xfId="38" applyFont="1" applyFill="1" applyBorder="1" applyAlignment="1" applyProtection="1">
      <alignment horizontal="center"/>
    </xf>
    <xf numFmtId="9" fontId="2" fillId="8" borderId="5" xfId="38" applyFont="1" applyFill="1" applyBorder="1" applyAlignment="1" applyProtection="1">
      <alignment horizontal="center"/>
    </xf>
    <xf numFmtId="9" fontId="2" fillId="8" borderId="16" xfId="38" applyFont="1" applyFill="1" applyBorder="1" applyAlignment="1" applyProtection="1">
      <alignment horizontal="center"/>
    </xf>
    <xf numFmtId="9" fontId="2" fillId="8" borderId="17" xfId="38" applyFont="1" applyFill="1" applyBorder="1" applyAlignment="1" applyProtection="1">
      <alignment horizontal="center"/>
    </xf>
    <xf numFmtId="9" fontId="2" fillId="8" borderId="18" xfId="38" applyFont="1" applyFill="1" applyBorder="1" applyAlignment="1" applyProtection="1">
      <alignment horizontal="center"/>
    </xf>
    <xf numFmtId="9" fontId="2" fillId="8" borderId="13" xfId="38" applyFont="1" applyFill="1" applyBorder="1" applyAlignment="1" applyProtection="1">
      <alignment horizontal="center"/>
    </xf>
    <xf numFmtId="9" fontId="2" fillId="8" borderId="14" xfId="38" applyFont="1" applyFill="1" applyBorder="1" applyAlignment="1" applyProtection="1">
      <alignment horizontal="center"/>
    </xf>
    <xf numFmtId="9" fontId="2" fillId="8" borderId="15" xfId="38" applyFont="1" applyFill="1" applyBorder="1" applyAlignment="1" applyProtection="1">
      <alignment horizontal="center"/>
    </xf>
    <xf numFmtId="9" fontId="2" fillId="8" borderId="7" xfId="38" applyFont="1" applyFill="1" applyBorder="1" applyAlignment="1" applyProtection="1">
      <alignment horizontal="center"/>
    </xf>
    <xf numFmtId="9" fontId="2" fillId="8" borderId="0" xfId="38" applyFont="1" applyFill="1" applyBorder="1" applyAlignment="1" applyProtection="1">
      <alignment horizontal="center"/>
    </xf>
    <xf numFmtId="9" fontId="2" fillId="8" borderId="8" xfId="38" applyFont="1" applyFill="1" applyBorder="1" applyAlignment="1" applyProtection="1">
      <alignment horizontal="center"/>
    </xf>
    <xf numFmtId="9" fontId="2" fillId="8" borderId="9" xfId="38" applyFont="1" applyFill="1" applyBorder="1" applyAlignment="1" applyProtection="1">
      <alignment horizontal="center"/>
    </xf>
    <xf numFmtId="9" fontId="2" fillId="8" borderId="6" xfId="38" applyFont="1" applyFill="1" applyBorder="1" applyAlignment="1" applyProtection="1">
      <alignment horizontal="center"/>
    </xf>
    <xf numFmtId="9" fontId="2" fillId="8" borderId="12" xfId="38" applyFont="1" applyFill="1" applyBorder="1" applyAlignment="1" applyProtection="1">
      <alignment horizontal="center"/>
    </xf>
  </cellXfs>
  <cellStyles count="54">
    <cellStyle name="+" xfId="1"/>
    <cellStyle name="AFE" xfId="2"/>
    <cellStyle name="Calc Currency (0)" xfId="3"/>
    <cellStyle name="Calc Currency (2)" xfId="4"/>
    <cellStyle name="Calc Percent (0)" xfId="5"/>
    <cellStyle name="Calc Percent (1)" xfId="6"/>
    <cellStyle name="Calc Percent (2)" xfId="7"/>
    <cellStyle name="Calc Units (0)" xfId="8"/>
    <cellStyle name="Calc Units (1)" xfId="9"/>
    <cellStyle name="Calc Units (2)" xfId="10"/>
    <cellStyle name="Comma [00]" xfId="11"/>
    <cellStyle name="Currency" xfId="12" builtinId="4"/>
    <cellStyle name="Currency [00]" xfId="13"/>
    <cellStyle name="Date Short" xfId="14"/>
    <cellStyle name="DELTA" xfId="15"/>
    <cellStyle name="Dezimal_20020617_Modell_PUFA_neu_v9" xfId="16"/>
    <cellStyle name="Dot" xfId="17"/>
    <cellStyle name="Dot%" xfId="18"/>
    <cellStyle name="Enter Currency (0)" xfId="19"/>
    <cellStyle name="Enter Currency (2)" xfId="20"/>
    <cellStyle name="Enter Units (0)" xfId="21"/>
    <cellStyle name="Enter Units (1)" xfId="22"/>
    <cellStyle name="Enter Units (2)" xfId="23"/>
    <cellStyle name="Grey" xfId="24"/>
    <cellStyle name="Header1" xfId="25"/>
    <cellStyle name="Header2" xfId="26"/>
    <cellStyle name="input" xfId="27"/>
    <cellStyle name="Input [yellow]" xfId="28"/>
    <cellStyle name="input_mast22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no dec" xfId="35"/>
    <cellStyle name="Normal" xfId="0" builtinId="0"/>
    <cellStyle name="Normal - Style1" xfId="36"/>
    <cellStyle name="paint" xfId="37"/>
    <cellStyle name="Percent" xfId="38" builtinId="5"/>
    <cellStyle name="Percent [0]" xfId="39"/>
    <cellStyle name="Percent [00]" xfId="40"/>
    <cellStyle name="Percent [2]" xfId="41"/>
    <cellStyle name="PrePop Currency (0)" xfId="42"/>
    <cellStyle name="PrePop Currency (2)" xfId="43"/>
    <cellStyle name="PrePop Units (0)" xfId="44"/>
    <cellStyle name="PrePop Units (1)" xfId="45"/>
    <cellStyle name="PrePop Units (2)" xfId="46"/>
    <cellStyle name="Standard_20020617_Modell_PUFA_neu_v9" xfId="47"/>
    <cellStyle name="Text Indent A" xfId="48"/>
    <cellStyle name="Text Indent B" xfId="49"/>
    <cellStyle name="Text Indent C" xfId="50"/>
    <cellStyle name="Title" xfId="51" builtinId="15" customBuiltin="1"/>
    <cellStyle name="標準_NTT G.Lite Pricing Jan 25th" xfId="52"/>
    <cellStyle name="通貨 [0.00]_NTT G.Lite Pricing Jan 25th" xfId="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B2D3F"/>
      <rgbColor rgb="000000FF"/>
      <rgbColor rgb="002E1700"/>
      <rgbColor rgb="00000000"/>
      <rgbColor rgb="00FFFDDC"/>
      <rgbColor rgb="00800000"/>
      <rgbColor rgb="00008000"/>
      <rgbColor rgb="00000080"/>
      <rgbColor rgb="00808000"/>
      <rgbColor rgb="00800080"/>
      <rgbColor rgb="00008080"/>
      <rgbColor rgb="0099FF9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7E366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A11D26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E69D1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pageSetUpPr fitToPage="1"/>
  </sheetPr>
  <dimension ref="A1:IT136"/>
  <sheetViews>
    <sheetView showGridLines="0" tabSelected="1" zoomScaleNormal="82" zoomScaleSheetLayoutView="65" workbookViewId="0">
      <pane ySplit="2" topLeftCell="A3" activePane="bottomLeft" state="frozen"/>
      <selection activeCell="K7" sqref="K7"/>
      <selection pane="bottomLeft" activeCell="C26" sqref="C26"/>
    </sheetView>
  </sheetViews>
  <sheetFormatPr defaultColWidth="0" defaultRowHeight="12.75" zeroHeight="1" x14ac:dyDescent="0.2"/>
  <cols>
    <col min="1" max="1" width="2.7109375" style="13" customWidth="1"/>
    <col min="2" max="2" width="40.7109375" style="13" customWidth="1"/>
    <col min="3" max="3" width="15.7109375" style="14" customWidth="1"/>
    <col min="4" max="4" width="14.7109375" style="14" customWidth="1"/>
    <col min="5" max="22" width="7.7109375" style="14" customWidth="1"/>
    <col min="23" max="23" width="2.7109375" style="14" customWidth="1"/>
    <col min="24" max="24" width="9.85546875" style="12" customWidth="1"/>
    <col min="25" max="253" width="9.85546875" style="12" hidden="1" customWidth="1"/>
    <col min="254" max="254" width="8.85546875" style="12" hidden="1" customWidth="1"/>
    <col min="255" max="16384" width="0" style="12" hidden="1"/>
  </cols>
  <sheetData>
    <row r="1" spans="1:23" s="29" customFormat="1" ht="13.15" customHeight="1" x14ac:dyDescent="0.2">
      <c r="A1" s="27"/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9" customFormat="1" ht="13.15" customHeight="1" x14ac:dyDescent="0.2">
      <c r="A2" s="27"/>
      <c r="B2" s="54"/>
      <c r="C2" s="55"/>
      <c r="D2" s="55"/>
      <c r="E2" s="56">
        <f>Start_year</f>
        <v>2008</v>
      </c>
      <c r="F2" s="56">
        <f>E2+1</f>
        <v>2009</v>
      </c>
      <c r="G2" s="56">
        <f t="shared" ref="G2:V2" si="0">F2+1</f>
        <v>2010</v>
      </c>
      <c r="H2" s="56">
        <f t="shared" si="0"/>
        <v>2011</v>
      </c>
      <c r="I2" s="56">
        <f t="shared" si="0"/>
        <v>2012</v>
      </c>
      <c r="J2" s="56">
        <f t="shared" si="0"/>
        <v>2013</v>
      </c>
      <c r="K2" s="56">
        <f t="shared" si="0"/>
        <v>2014</v>
      </c>
      <c r="L2" s="56">
        <f t="shared" si="0"/>
        <v>2015</v>
      </c>
      <c r="M2" s="56">
        <f t="shared" si="0"/>
        <v>2016</v>
      </c>
      <c r="N2" s="56">
        <f t="shared" si="0"/>
        <v>2017</v>
      </c>
      <c r="O2" s="56">
        <f t="shared" si="0"/>
        <v>2018</v>
      </c>
      <c r="P2" s="56">
        <f t="shared" si="0"/>
        <v>2019</v>
      </c>
      <c r="Q2" s="56">
        <f t="shared" si="0"/>
        <v>2020</v>
      </c>
      <c r="R2" s="56">
        <f t="shared" si="0"/>
        <v>2021</v>
      </c>
      <c r="S2" s="56">
        <f t="shared" si="0"/>
        <v>2022</v>
      </c>
      <c r="T2" s="56">
        <f t="shared" si="0"/>
        <v>2023</v>
      </c>
      <c r="U2" s="56">
        <f t="shared" si="0"/>
        <v>2024</v>
      </c>
      <c r="V2" s="56">
        <f t="shared" si="0"/>
        <v>2025</v>
      </c>
      <c r="W2" s="57"/>
    </row>
    <row r="3" spans="1:23" s="29" customFormat="1" ht="13.15" customHeight="1" x14ac:dyDescent="0.2">
      <c r="A3" s="30"/>
      <c r="B3" s="31"/>
      <c r="C3" s="32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3.15" customHeight="1" x14ac:dyDescent="0.2">
      <c r="B4" s="58" t="s">
        <v>10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5"/>
    </row>
    <row r="5" spans="1:23" ht="13.15" customHeight="1" x14ac:dyDescent="0.2">
      <c r="B5" s="72"/>
      <c r="C5" s="99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3"/>
    </row>
    <row r="6" spans="1:23" ht="13.15" customHeight="1" x14ac:dyDescent="0.2">
      <c r="B6" s="66" t="s">
        <v>3</v>
      </c>
      <c r="C6" s="52">
        <v>0.1</v>
      </c>
      <c r="D6" s="41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67"/>
    </row>
    <row r="7" spans="1:23" ht="13.15" customHeight="1" x14ac:dyDescent="0.2">
      <c r="A7" s="6"/>
      <c r="B7" s="66" t="s">
        <v>22</v>
      </c>
      <c r="C7" s="53">
        <v>2024</v>
      </c>
      <c r="D7" s="41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68"/>
    </row>
    <row r="8" spans="1:23" ht="13.15" customHeight="1" x14ac:dyDescent="0.2">
      <c r="A8" s="6"/>
      <c r="B8" s="66" t="s">
        <v>23</v>
      </c>
      <c r="C8" s="53">
        <v>2008</v>
      </c>
      <c r="D8" s="41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68"/>
    </row>
    <row r="9" spans="1:23" ht="13.15" customHeight="1" x14ac:dyDescent="0.2">
      <c r="A9" s="6"/>
      <c r="B9" s="66" t="s">
        <v>33</v>
      </c>
      <c r="C9" s="53">
        <v>2015</v>
      </c>
      <c r="D9" s="4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68"/>
    </row>
    <row r="10" spans="1:23" ht="13.15" customHeight="1" x14ac:dyDescent="0.2">
      <c r="A10" s="6"/>
      <c r="B10" s="69"/>
      <c r="C10" s="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70"/>
    </row>
    <row r="11" spans="1:23" ht="13.15" customHeight="1" x14ac:dyDescent="0.2">
      <c r="A11" s="6"/>
      <c r="B11" s="20"/>
      <c r="C11" s="7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</row>
    <row r="12" spans="1:23" ht="13.15" customHeight="1" x14ac:dyDescent="0.2">
      <c r="B12" s="58" t="s">
        <v>0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5"/>
    </row>
    <row r="13" spans="1:23" ht="13.15" customHeight="1" x14ac:dyDescent="0.2">
      <c r="A13" s="6"/>
      <c r="B13" s="6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71"/>
    </row>
    <row r="14" spans="1:23" ht="13.15" customHeight="1" x14ac:dyDescent="0.2">
      <c r="A14" s="6"/>
      <c r="B14" s="72" t="s">
        <v>67</v>
      </c>
      <c r="C14" s="104">
        <f>Total_NPV</f>
        <v>277.34935830727795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71"/>
    </row>
    <row r="15" spans="1:23" ht="13.15" customHeight="1" x14ac:dyDescent="0.2">
      <c r="A15" s="6"/>
      <c r="B15" s="73"/>
      <c r="C15" s="42"/>
      <c r="D15" s="43"/>
      <c r="E15" s="43"/>
      <c r="F15" s="43"/>
      <c r="G15" s="44"/>
      <c r="H15" s="43"/>
      <c r="I15" s="43"/>
      <c r="J15" s="43"/>
      <c r="K15" s="43"/>
      <c r="L15" s="43"/>
      <c r="M15" s="43"/>
      <c r="N15" s="42"/>
      <c r="O15" s="42"/>
      <c r="P15" s="42"/>
      <c r="Q15" s="42"/>
      <c r="R15" s="42"/>
      <c r="S15" s="42"/>
      <c r="T15" s="42"/>
      <c r="U15" s="42"/>
      <c r="V15" s="42"/>
      <c r="W15" s="74"/>
    </row>
    <row r="16" spans="1:23" ht="13.15" customHeight="1" x14ac:dyDescent="0.2">
      <c r="B16" s="22"/>
    </row>
    <row r="17" spans="1:23" ht="13.15" customHeight="1" x14ac:dyDescent="0.2">
      <c r="B17" s="58" t="s">
        <v>38</v>
      </c>
      <c r="C17" s="64"/>
      <c r="D17" s="6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6"/>
    </row>
    <row r="18" spans="1:23" ht="13.15" customHeight="1" x14ac:dyDescent="0.2">
      <c r="B18" s="77"/>
      <c r="C18" s="5"/>
      <c r="D18" s="16"/>
      <c r="E18" s="16" t="s">
        <v>59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78"/>
    </row>
    <row r="19" spans="1:23" ht="13.15" customHeight="1" x14ac:dyDescent="0.2">
      <c r="B19" s="66" t="s">
        <v>39</v>
      </c>
      <c r="C19" s="46">
        <v>1</v>
      </c>
      <c r="D19" s="106" t="str">
        <f>IF(C19,"Yes","No")</f>
        <v>Yes</v>
      </c>
      <c r="E19" s="16">
        <v>1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78"/>
    </row>
    <row r="20" spans="1:23" ht="13.15" customHeight="1" x14ac:dyDescent="0.2">
      <c r="B20" s="77"/>
      <c r="C20" s="5"/>
      <c r="D20" s="16"/>
      <c r="E20" s="16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78"/>
    </row>
    <row r="21" spans="1:23" ht="13.15" customHeight="1" x14ac:dyDescent="0.2">
      <c r="A21" s="15"/>
      <c r="B21" s="79" t="s">
        <v>11</v>
      </c>
      <c r="C21" s="45">
        <v>1</v>
      </c>
      <c r="D21" s="106" t="str">
        <f>IF(C21,"Yes","No")</f>
        <v>Yes</v>
      </c>
      <c r="E21" s="16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71"/>
    </row>
    <row r="22" spans="1:23" ht="13.15" customHeight="1" x14ac:dyDescent="0.2">
      <c r="A22" s="15"/>
      <c r="B22" s="79" t="s">
        <v>12</v>
      </c>
      <c r="C22" s="45">
        <v>1</v>
      </c>
      <c r="D22" s="106" t="str">
        <f>IF(C22,"Yes","No")</f>
        <v>Yes</v>
      </c>
      <c r="E22" s="16"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71"/>
    </row>
    <row r="23" spans="1:23" ht="13.15" customHeight="1" x14ac:dyDescent="0.2">
      <c r="A23" s="15"/>
      <c r="B23" s="79" t="s">
        <v>13</v>
      </c>
      <c r="C23" s="45">
        <v>1</v>
      </c>
      <c r="D23" s="106" t="str">
        <f>IF(C23,"Yes","No")</f>
        <v>Yes</v>
      </c>
      <c r="E23" s="16">
        <v>1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71"/>
    </row>
    <row r="24" spans="1:23" ht="13.15" customHeight="1" x14ac:dyDescent="0.2">
      <c r="A24" s="12"/>
      <c r="B24" s="79" t="s">
        <v>14</v>
      </c>
      <c r="C24" s="45">
        <v>1</v>
      </c>
      <c r="D24" s="106" t="str">
        <f>IF(C24,"Yes","No")</f>
        <v>Yes</v>
      </c>
      <c r="E24" s="16">
        <v>1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78"/>
    </row>
    <row r="25" spans="1:23" ht="13.15" customHeight="1" x14ac:dyDescent="0.2">
      <c r="A25" s="12"/>
      <c r="B25" s="79"/>
      <c r="C25" s="121"/>
      <c r="D25" s="106"/>
      <c r="E25" s="16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78"/>
    </row>
    <row r="26" spans="1:23" ht="13.15" customHeight="1" x14ac:dyDescent="0.2">
      <c r="A26" s="12"/>
      <c r="B26" s="79" t="s">
        <v>45</v>
      </c>
      <c r="C26" s="45">
        <v>2</v>
      </c>
      <c r="D26" s="106" t="str">
        <f>CHOOSE(C26,"Failure","Disappointment","Breakthrough")</f>
        <v>Disappointment</v>
      </c>
      <c r="E26" s="16">
        <v>1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78"/>
    </row>
    <row r="27" spans="1:23" ht="13.15" customHeight="1" x14ac:dyDescent="0.2">
      <c r="A27" s="12"/>
      <c r="B27" s="79" t="s">
        <v>40</v>
      </c>
      <c r="C27" s="45">
        <v>2</v>
      </c>
      <c r="D27" s="106" t="str">
        <f>CHOOSE(C27,"Low","Nominal","High")</f>
        <v>Nominal</v>
      </c>
      <c r="E27" s="16">
        <v>2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78"/>
    </row>
    <row r="28" spans="1:23" ht="13.15" customHeight="1" x14ac:dyDescent="0.2">
      <c r="A28" s="12"/>
      <c r="B28" s="79" t="s">
        <v>44</v>
      </c>
      <c r="C28" s="45">
        <v>2</v>
      </c>
      <c r="D28" s="106" t="str">
        <f>CHOOSE(C28,"Low","Nominal","High")</f>
        <v>Nominal</v>
      </c>
      <c r="E28" s="16">
        <v>2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78"/>
    </row>
    <row r="29" spans="1:23" ht="13.15" customHeight="1" x14ac:dyDescent="0.2">
      <c r="A29" s="12"/>
      <c r="B29" s="79" t="s">
        <v>46</v>
      </c>
      <c r="C29" s="45">
        <v>2</v>
      </c>
      <c r="D29" s="106" t="str">
        <f>CHOOSE(C29,"Low","Nominal","High")</f>
        <v>Nominal</v>
      </c>
      <c r="E29" s="16">
        <v>2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78"/>
    </row>
    <row r="30" spans="1:23" ht="13.15" customHeight="1" x14ac:dyDescent="0.2">
      <c r="B30" s="80"/>
      <c r="C30" s="43"/>
      <c r="D30" s="81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3"/>
    </row>
    <row r="31" spans="1:23" s="6" customFormat="1" ht="13.15" customHeight="1" x14ac:dyDescent="0.2"/>
    <row r="32" spans="1:23" ht="13.15" customHeight="1" x14ac:dyDescent="0.2">
      <c r="B32" s="58" t="s">
        <v>24</v>
      </c>
      <c r="C32" s="64"/>
      <c r="D32" s="64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6"/>
    </row>
    <row r="33" spans="1:23" ht="13.15" customHeight="1" x14ac:dyDescent="0.2">
      <c r="B33" s="77"/>
      <c r="C33" s="5"/>
      <c r="D33" s="16"/>
      <c r="E33" s="16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78"/>
    </row>
    <row r="34" spans="1:23" ht="13.15" customHeight="1" x14ac:dyDescent="0.2">
      <c r="A34" s="15"/>
      <c r="B34" s="79" t="s">
        <v>4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71"/>
    </row>
    <row r="35" spans="1:23" ht="13.15" customHeight="1" x14ac:dyDescent="0.2">
      <c r="A35" s="15"/>
      <c r="B35" s="34" t="s">
        <v>17</v>
      </c>
      <c r="C35" s="16"/>
      <c r="D35" s="16"/>
      <c r="E35" s="84">
        <v>6</v>
      </c>
      <c r="F35" s="85">
        <v>6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85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  <c r="R35" s="85">
        <v>0</v>
      </c>
      <c r="S35" s="85">
        <v>0</v>
      </c>
      <c r="T35" s="85">
        <v>0</v>
      </c>
      <c r="U35" s="85">
        <v>0</v>
      </c>
      <c r="V35" s="86">
        <v>0</v>
      </c>
      <c r="W35" s="71"/>
    </row>
    <row r="36" spans="1:23" ht="13.15" customHeight="1" x14ac:dyDescent="0.2">
      <c r="A36" s="15"/>
      <c r="B36" s="34" t="s">
        <v>18</v>
      </c>
      <c r="C36" s="16"/>
      <c r="D36" s="16"/>
      <c r="E36" s="84">
        <v>0</v>
      </c>
      <c r="F36" s="85">
        <v>0</v>
      </c>
      <c r="G36" s="85">
        <v>21</v>
      </c>
      <c r="H36" s="85">
        <v>29</v>
      </c>
      <c r="I36" s="85">
        <v>0</v>
      </c>
      <c r="J36" s="85">
        <v>0</v>
      </c>
      <c r="K36" s="85">
        <v>0</v>
      </c>
      <c r="L36" s="85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  <c r="R36" s="85">
        <v>0</v>
      </c>
      <c r="S36" s="85">
        <v>0</v>
      </c>
      <c r="T36" s="85">
        <v>0</v>
      </c>
      <c r="U36" s="85">
        <v>0</v>
      </c>
      <c r="V36" s="86">
        <v>0</v>
      </c>
      <c r="W36" s="71"/>
    </row>
    <row r="37" spans="1:23" ht="13.15" customHeight="1" x14ac:dyDescent="0.2">
      <c r="A37" s="15"/>
      <c r="B37" s="34" t="s">
        <v>19</v>
      </c>
      <c r="C37" s="16"/>
      <c r="D37" s="16"/>
      <c r="E37" s="84">
        <v>0</v>
      </c>
      <c r="F37" s="85">
        <v>0</v>
      </c>
      <c r="G37" s="85">
        <v>0</v>
      </c>
      <c r="H37" s="85">
        <v>0</v>
      </c>
      <c r="I37" s="85">
        <v>52</v>
      </c>
      <c r="J37" s="85">
        <v>61</v>
      </c>
      <c r="K37" s="85">
        <v>75</v>
      </c>
      <c r="L37" s="85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  <c r="R37" s="85">
        <v>0</v>
      </c>
      <c r="S37" s="85">
        <v>0</v>
      </c>
      <c r="T37" s="85">
        <v>0</v>
      </c>
      <c r="U37" s="85">
        <v>0</v>
      </c>
      <c r="V37" s="86">
        <v>0</v>
      </c>
      <c r="W37" s="71"/>
    </row>
    <row r="38" spans="1:23" ht="13.15" customHeight="1" x14ac:dyDescent="0.2">
      <c r="A38" s="15"/>
      <c r="B38" s="34" t="s">
        <v>20</v>
      </c>
      <c r="C38" s="16"/>
      <c r="D38" s="16"/>
      <c r="E38" s="84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85">
        <v>15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0</v>
      </c>
      <c r="V38" s="86">
        <v>0</v>
      </c>
      <c r="W38" s="71"/>
    </row>
    <row r="39" spans="1:23" ht="13.15" customHeight="1" x14ac:dyDescent="0.2">
      <c r="A39" s="15"/>
      <c r="B39" s="79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71"/>
    </row>
    <row r="40" spans="1:23" ht="13.15" customHeight="1" x14ac:dyDescent="0.2">
      <c r="A40" s="12"/>
      <c r="B40" s="79" t="s">
        <v>5</v>
      </c>
      <c r="C40" s="16"/>
      <c r="D40" s="16"/>
      <c r="E40" s="16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71"/>
    </row>
    <row r="41" spans="1:23" ht="13.15" customHeight="1" x14ac:dyDescent="0.2">
      <c r="A41" s="12"/>
      <c r="B41" s="34" t="s">
        <v>6</v>
      </c>
      <c r="C41" s="16"/>
      <c r="D41" s="16"/>
      <c r="E41" s="84">
        <v>0</v>
      </c>
      <c r="F41" s="85">
        <v>0</v>
      </c>
      <c r="G41" s="85">
        <v>0</v>
      </c>
      <c r="H41" s="85">
        <v>0</v>
      </c>
      <c r="I41" s="85">
        <v>0</v>
      </c>
      <c r="J41" s="85">
        <v>0</v>
      </c>
      <c r="K41" s="85">
        <v>95</v>
      </c>
      <c r="L41" s="85">
        <v>135</v>
      </c>
      <c r="M41" s="85">
        <v>0</v>
      </c>
      <c r="N41" s="85">
        <v>0</v>
      </c>
      <c r="O41" s="85">
        <v>0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0</v>
      </c>
      <c r="V41" s="86">
        <v>0</v>
      </c>
      <c r="W41" s="71"/>
    </row>
    <row r="42" spans="1:23" ht="13.15" customHeight="1" x14ac:dyDescent="0.2">
      <c r="A42" s="12"/>
      <c r="B42" s="34" t="s">
        <v>7</v>
      </c>
      <c r="C42" s="52">
        <v>0.25</v>
      </c>
      <c r="D42" s="16"/>
      <c r="E42" s="1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71"/>
    </row>
    <row r="43" spans="1:23" ht="13.15" customHeight="1" x14ac:dyDescent="0.2">
      <c r="A43" s="12"/>
      <c r="B43" s="34"/>
      <c r="C43" s="16"/>
      <c r="D43" s="16"/>
      <c r="E43" s="16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71"/>
    </row>
    <row r="44" spans="1:23" ht="13.15" customHeight="1" x14ac:dyDescent="0.2">
      <c r="A44" s="12"/>
      <c r="B44" s="79" t="s">
        <v>25</v>
      </c>
      <c r="C44" s="16"/>
      <c r="D44" s="16"/>
      <c r="E44" s="16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71"/>
    </row>
    <row r="45" spans="1:23" ht="13.15" customHeight="1" x14ac:dyDescent="0.2">
      <c r="A45" s="12"/>
      <c r="B45" s="34" t="s">
        <v>21</v>
      </c>
      <c r="C45" s="52">
        <v>0.12</v>
      </c>
      <c r="D45" s="16"/>
      <c r="E45" s="16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71"/>
    </row>
    <row r="46" spans="1:23" ht="13.15" customHeight="1" x14ac:dyDescent="0.2">
      <c r="A46" s="12"/>
      <c r="B46" s="34" t="s">
        <v>28</v>
      </c>
      <c r="C46" s="16"/>
      <c r="D46" s="16"/>
      <c r="E46" s="84"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85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0</v>
      </c>
      <c r="V46" s="86">
        <v>0</v>
      </c>
      <c r="W46" s="71"/>
    </row>
    <row r="47" spans="1:23" ht="13.15" customHeight="1" x14ac:dyDescent="0.2">
      <c r="A47" s="12"/>
      <c r="B47" s="87" t="s">
        <v>29</v>
      </c>
      <c r="C47" s="52">
        <v>0</v>
      </c>
      <c r="D47" s="16"/>
      <c r="E47" s="16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71"/>
    </row>
    <row r="48" spans="1:23" ht="13.15" customHeight="1" x14ac:dyDescent="0.2">
      <c r="A48" s="12"/>
      <c r="B48" s="87"/>
      <c r="C48" s="16"/>
      <c r="D48" s="16"/>
      <c r="E48" s="16"/>
      <c r="F48" s="16"/>
      <c r="G48" s="1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78"/>
    </row>
    <row r="49" spans="1:23" ht="13.15" customHeight="1" x14ac:dyDescent="0.2">
      <c r="A49" s="12"/>
      <c r="B49" s="79" t="s">
        <v>53</v>
      </c>
      <c r="C49" s="16"/>
      <c r="D49" s="16"/>
      <c r="E49" s="16"/>
      <c r="F49" s="16"/>
      <c r="G49" s="1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78"/>
    </row>
    <row r="50" spans="1:23" ht="13.15" customHeight="1" x14ac:dyDescent="0.2">
      <c r="A50" s="12"/>
      <c r="B50" s="87" t="s">
        <v>29</v>
      </c>
      <c r="C50" s="118">
        <v>0.05</v>
      </c>
      <c r="D50" s="16"/>
      <c r="E50" s="16"/>
      <c r="F50" s="16"/>
      <c r="G50" s="1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78"/>
    </row>
    <row r="51" spans="1:23" ht="13.15" customHeight="1" x14ac:dyDescent="0.2">
      <c r="A51" s="12"/>
      <c r="B51" s="87" t="s">
        <v>54</v>
      </c>
      <c r="C51" s="123">
        <v>4</v>
      </c>
      <c r="D51" s="16"/>
      <c r="E51" s="16"/>
      <c r="F51" s="16"/>
      <c r="G51" s="1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78"/>
    </row>
    <row r="52" spans="1:23" ht="13.15" customHeight="1" x14ac:dyDescent="0.2">
      <c r="A52" s="12"/>
      <c r="B52" s="87" t="s">
        <v>55</v>
      </c>
      <c r="C52" s="124">
        <v>8</v>
      </c>
      <c r="D52" s="16"/>
      <c r="E52" s="16"/>
      <c r="F52" s="16"/>
      <c r="G52" s="1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78"/>
    </row>
    <row r="53" spans="1:23" ht="13.15" customHeight="1" x14ac:dyDescent="0.2">
      <c r="A53" s="12"/>
      <c r="B53" s="87" t="s">
        <v>56</v>
      </c>
      <c r="C53" s="124">
        <v>8</v>
      </c>
      <c r="D53" s="16"/>
      <c r="E53" s="16"/>
      <c r="F53" s="16"/>
      <c r="G53" s="1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78"/>
    </row>
    <row r="54" spans="1:23" ht="13.15" customHeight="1" x14ac:dyDescent="0.2">
      <c r="A54" s="12"/>
      <c r="B54" s="87" t="s">
        <v>57</v>
      </c>
      <c r="C54" s="125">
        <v>12</v>
      </c>
      <c r="D54" s="16"/>
      <c r="E54" s="16"/>
      <c r="F54" s="16"/>
      <c r="G54" s="1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78"/>
    </row>
    <row r="55" spans="1:23" ht="13.15" customHeight="1" x14ac:dyDescent="0.2">
      <c r="A55" s="12"/>
      <c r="B55" s="87"/>
      <c r="C55" s="16"/>
      <c r="D55" s="16"/>
      <c r="E55" s="17"/>
      <c r="F55" s="17"/>
      <c r="G55" s="106" t="s">
        <v>40</v>
      </c>
      <c r="H55" s="106"/>
      <c r="I55" s="106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78"/>
    </row>
    <row r="56" spans="1:23" ht="13.15" customHeight="1" x14ac:dyDescent="0.2">
      <c r="A56" s="12"/>
      <c r="B56" s="79" t="s">
        <v>8</v>
      </c>
      <c r="C56" s="16"/>
      <c r="D56" s="16"/>
      <c r="E56" s="17"/>
      <c r="F56" s="17"/>
      <c r="G56" s="106" t="s">
        <v>41</v>
      </c>
      <c r="H56" s="106" t="s">
        <v>42</v>
      </c>
      <c r="I56" s="106" t="s">
        <v>43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78"/>
    </row>
    <row r="57" spans="1:23" ht="13.15" customHeight="1" x14ac:dyDescent="0.2">
      <c r="A57" s="12"/>
      <c r="B57" s="87" t="s">
        <v>31</v>
      </c>
      <c r="C57" s="104">
        <f>INDEX(peak_sales_table,Market_size,Market_share)</f>
        <v>450</v>
      </c>
      <c r="D57" s="16"/>
      <c r="E57" s="116" t="s">
        <v>44</v>
      </c>
      <c r="F57" s="17" t="s">
        <v>41</v>
      </c>
      <c r="G57" s="108">
        <v>105</v>
      </c>
      <c r="H57" s="109">
        <v>180</v>
      </c>
      <c r="I57" s="110">
        <v>475</v>
      </c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78"/>
    </row>
    <row r="58" spans="1:23" ht="13.15" customHeight="1" x14ac:dyDescent="0.2">
      <c r="A58" s="12"/>
      <c r="B58" s="87" t="s">
        <v>32</v>
      </c>
      <c r="C58" s="53">
        <v>5</v>
      </c>
      <c r="D58" s="16"/>
      <c r="E58" s="16"/>
      <c r="F58" s="16" t="s">
        <v>42</v>
      </c>
      <c r="G58" s="111">
        <v>125</v>
      </c>
      <c r="H58" s="107">
        <v>450</v>
      </c>
      <c r="I58" s="112">
        <v>1050</v>
      </c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78"/>
    </row>
    <row r="59" spans="1:23" ht="13.15" customHeight="1" x14ac:dyDescent="0.2">
      <c r="A59" s="12"/>
      <c r="B59" s="87"/>
      <c r="C59" s="16"/>
      <c r="D59" s="16"/>
      <c r="E59" s="16"/>
      <c r="F59" s="16" t="s">
        <v>43</v>
      </c>
      <c r="G59" s="113">
        <v>170</v>
      </c>
      <c r="H59" s="114">
        <v>600</v>
      </c>
      <c r="I59" s="115">
        <v>1400</v>
      </c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78"/>
    </row>
    <row r="60" spans="1:23" ht="13.15" customHeight="1" x14ac:dyDescent="0.2">
      <c r="B60" s="66" t="s">
        <v>47</v>
      </c>
      <c r="C60" s="118">
        <v>0</v>
      </c>
      <c r="D60" s="117" t="s">
        <v>48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78"/>
    </row>
    <row r="61" spans="1:23" ht="13.15" customHeight="1" x14ac:dyDescent="0.2">
      <c r="B61" s="66"/>
      <c r="C61" s="119">
        <v>0.1</v>
      </c>
      <c r="D61" s="117" t="s">
        <v>49</v>
      </c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78"/>
    </row>
    <row r="62" spans="1:23" ht="13.15" customHeight="1" x14ac:dyDescent="0.2">
      <c r="B62" s="66"/>
      <c r="C62" s="120">
        <v>0.7</v>
      </c>
      <c r="D62" s="117" t="s">
        <v>50</v>
      </c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78"/>
    </row>
    <row r="63" spans="1:23" ht="13.15" customHeight="1" x14ac:dyDescent="0.2">
      <c r="B63" s="66"/>
      <c r="C63" s="16"/>
      <c r="D63" s="1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78"/>
    </row>
    <row r="64" spans="1:23" ht="13.15" customHeight="1" x14ac:dyDescent="0.2">
      <c r="B64" s="66" t="s">
        <v>51</v>
      </c>
      <c r="C64" s="118">
        <v>0.7</v>
      </c>
      <c r="D64" s="117" t="s">
        <v>41</v>
      </c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78"/>
    </row>
    <row r="65" spans="2:23" ht="13.15" customHeight="1" x14ac:dyDescent="0.2">
      <c r="B65" s="66"/>
      <c r="C65" s="119">
        <v>1</v>
      </c>
      <c r="D65" s="117" t="s">
        <v>42</v>
      </c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78"/>
    </row>
    <row r="66" spans="2:23" ht="13.15" customHeight="1" x14ac:dyDescent="0.2">
      <c r="B66" s="66"/>
      <c r="C66" s="120">
        <v>1.2</v>
      </c>
      <c r="D66" s="117" t="s">
        <v>43</v>
      </c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78"/>
    </row>
    <row r="67" spans="2:23" ht="13.15" customHeight="1" x14ac:dyDescent="0.2">
      <c r="B67" s="66"/>
      <c r="C67" s="16"/>
      <c r="D67" s="1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78"/>
    </row>
    <row r="68" spans="2:23" ht="13.15" customHeight="1" x14ac:dyDescent="0.2">
      <c r="B68" s="66" t="s">
        <v>52</v>
      </c>
      <c r="C68" s="104">
        <f>Peak_sales*(1-CHOOSE(Key_competitor_outcome,C60,C61,C62))*CHOOSE(Pricing,C64,C65,C66)</f>
        <v>405</v>
      </c>
      <c r="D68" s="1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78"/>
    </row>
    <row r="69" spans="2:23" ht="13.15" customHeight="1" x14ac:dyDescent="0.2">
      <c r="B69" s="66"/>
      <c r="C69" s="16"/>
      <c r="D69" s="1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78"/>
    </row>
    <row r="70" spans="2:23" ht="13.15" customHeight="1" x14ac:dyDescent="0.2">
      <c r="B70" s="80"/>
      <c r="C70" s="43"/>
      <c r="D70" s="81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3"/>
    </row>
    <row r="71" spans="2:23" s="6" customFormat="1" ht="13.15" customHeight="1" x14ac:dyDescent="0.2"/>
    <row r="72" spans="2:23" ht="13.15" hidden="1" customHeight="1" x14ac:dyDescent="0.2"/>
    <row r="73" spans="2:23" ht="13.15" hidden="1" customHeight="1" x14ac:dyDescent="0.2"/>
    <row r="74" spans="2:23" ht="13.15" hidden="1" customHeight="1" x14ac:dyDescent="0.2"/>
    <row r="75" spans="2:23" ht="13.15" hidden="1" customHeight="1" x14ac:dyDescent="0.2"/>
    <row r="76" spans="2:23" ht="13.15" hidden="1" customHeight="1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</sheetData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2" fitToHeight="3" orientation="landscape" r:id="rId1"/>
  <headerFooter alignWithMargins="0">
    <oddHeader>&amp;R&amp;"Arial,Fett"&amp;14- Entwurf -</oddHeader>
    <oddFooter>&amp;L&amp;D, &amp;T&amp;CSeite &amp;P / &amp;N&amp;R&amp;F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30"/>
  <sheetViews>
    <sheetView showGridLines="0" workbookViewId="0">
      <selection activeCell="D17" sqref="D17"/>
    </sheetView>
  </sheetViews>
  <sheetFormatPr defaultColWidth="0" defaultRowHeight="13.15" customHeight="1" zeroHeight="1" x14ac:dyDescent="0.2"/>
  <cols>
    <col min="1" max="1" width="2.7109375" style="13" customWidth="1"/>
    <col min="2" max="2" width="40.7109375" style="13" customWidth="1"/>
    <col min="3" max="3" width="15.7109375" style="14" customWidth="1"/>
    <col min="4" max="4" width="14.7109375" style="14" customWidth="1"/>
    <col min="5" max="22" width="7.7109375" style="14" customWidth="1"/>
    <col min="23" max="23" width="2.7109375" style="14" customWidth="1"/>
    <col min="24" max="24" width="9.85546875" style="12" customWidth="1"/>
    <col min="25" max="253" width="9.85546875" style="12" hidden="1" customWidth="1"/>
    <col min="254" max="254" width="8.85546875" style="12" hidden="1" customWidth="1"/>
    <col min="255" max="16384" width="0" style="12" hidden="1"/>
  </cols>
  <sheetData>
    <row r="1" spans="1:23" s="29" customFormat="1" ht="13.15" customHeight="1" x14ac:dyDescent="0.2">
      <c r="A1" s="27"/>
      <c r="B1" s="27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s="29" customFormat="1" ht="13.15" customHeight="1" x14ac:dyDescent="0.2">
      <c r="A2" s="27"/>
      <c r="B2" s="54"/>
      <c r="C2" s="55"/>
      <c r="D2" s="55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7"/>
    </row>
    <row r="3" spans="1:23" s="29" customFormat="1" ht="13.15" customHeight="1" x14ac:dyDescent="0.2">
      <c r="A3" s="30"/>
      <c r="B3" s="31"/>
      <c r="C3" s="32"/>
      <c r="D3" s="32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3.15" customHeight="1" x14ac:dyDescent="0.2">
      <c r="B4" s="58" t="s">
        <v>60</v>
      </c>
      <c r="C4" s="64"/>
      <c r="D4" s="64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6"/>
    </row>
    <row r="5" spans="1:23" ht="13.15" customHeight="1" x14ac:dyDescent="0.2">
      <c r="B5" s="77"/>
      <c r="C5" s="5"/>
      <c r="D5" s="16"/>
      <c r="E5" s="16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78"/>
    </row>
    <row r="6" spans="1:23" ht="13.15" customHeight="1" x14ac:dyDescent="0.2">
      <c r="A6" s="15"/>
      <c r="B6" s="79" t="s">
        <v>11</v>
      </c>
      <c r="C6" s="128">
        <v>0.7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71"/>
    </row>
    <row r="7" spans="1:23" ht="13.15" customHeight="1" x14ac:dyDescent="0.2">
      <c r="A7" s="15"/>
      <c r="B7" s="79" t="s">
        <v>18</v>
      </c>
      <c r="C7" s="127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71"/>
    </row>
    <row r="8" spans="1:23" ht="13.15" customHeight="1" x14ac:dyDescent="0.2">
      <c r="A8" s="15"/>
      <c r="B8" s="87" t="s">
        <v>61</v>
      </c>
      <c r="C8" s="129">
        <v>0.2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71"/>
    </row>
    <row r="9" spans="1:23" ht="13.15" customHeight="1" x14ac:dyDescent="0.2">
      <c r="A9" s="15"/>
      <c r="B9" s="87" t="s">
        <v>62</v>
      </c>
      <c r="C9" s="130">
        <v>0.2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71"/>
    </row>
    <row r="10" spans="1:23" ht="13.15" customHeight="1" x14ac:dyDescent="0.2">
      <c r="A10" s="15"/>
      <c r="B10" s="87" t="s">
        <v>48</v>
      </c>
      <c r="C10" s="131">
        <v>0.6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71"/>
    </row>
    <row r="11" spans="1:23" ht="13.15" customHeight="1" x14ac:dyDescent="0.2">
      <c r="A11" s="15"/>
      <c r="B11" s="79" t="s">
        <v>13</v>
      </c>
      <c r="C11" s="128">
        <v>0.8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71"/>
    </row>
    <row r="12" spans="1:23" ht="13.15" customHeight="1" x14ac:dyDescent="0.2">
      <c r="A12" s="15"/>
      <c r="B12" s="79" t="s">
        <v>14</v>
      </c>
      <c r="C12" s="128">
        <v>0.9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71"/>
    </row>
    <row r="13" spans="1:23" ht="13.15" customHeight="1" x14ac:dyDescent="0.2">
      <c r="A13" s="15"/>
      <c r="B13" s="79" t="s">
        <v>45</v>
      </c>
      <c r="C13" s="10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71"/>
    </row>
    <row r="14" spans="1:23" ht="13.15" customHeight="1" x14ac:dyDescent="0.2">
      <c r="A14" s="15"/>
      <c r="B14" s="87" t="s">
        <v>48</v>
      </c>
      <c r="C14" s="129">
        <v>0.3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71"/>
    </row>
    <row r="15" spans="1:23" ht="13.15" customHeight="1" x14ac:dyDescent="0.2">
      <c r="A15" s="15"/>
      <c r="B15" s="87" t="s">
        <v>49</v>
      </c>
      <c r="C15" s="130">
        <v>0.4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71"/>
    </row>
    <row r="16" spans="1:23" ht="13.15" customHeight="1" x14ac:dyDescent="0.2">
      <c r="A16" s="15"/>
      <c r="B16" s="87" t="s">
        <v>50</v>
      </c>
      <c r="C16" s="131">
        <v>0.3</v>
      </c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71"/>
    </row>
    <row r="17" spans="1:23" ht="13.15" customHeight="1" x14ac:dyDescent="0.2">
      <c r="A17" s="15"/>
      <c r="B17" s="79" t="s">
        <v>46</v>
      </c>
      <c r="C17" s="10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71"/>
    </row>
    <row r="18" spans="1:23" ht="13.15" customHeight="1" x14ac:dyDescent="0.2">
      <c r="A18" s="15"/>
      <c r="B18" s="87" t="s">
        <v>41</v>
      </c>
      <c r="C18" s="129">
        <v>0.3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71"/>
    </row>
    <row r="19" spans="1:23" ht="13.15" customHeight="1" x14ac:dyDescent="0.2">
      <c r="A19" s="15"/>
      <c r="B19" s="87" t="s">
        <v>42</v>
      </c>
      <c r="C19" s="130">
        <v>0.4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71"/>
    </row>
    <row r="20" spans="1:23" ht="13.15" customHeight="1" x14ac:dyDescent="0.2">
      <c r="A20" s="15"/>
      <c r="B20" s="87" t="s">
        <v>43</v>
      </c>
      <c r="C20" s="131">
        <v>0.3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71"/>
    </row>
    <row r="21" spans="1:23" ht="13.15" customHeight="1" x14ac:dyDescent="0.2">
      <c r="A21" s="15"/>
      <c r="B21" s="79" t="s">
        <v>44</v>
      </c>
      <c r="C21" s="10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71"/>
    </row>
    <row r="22" spans="1:23" ht="13.15" customHeight="1" x14ac:dyDescent="0.2">
      <c r="A22" s="15"/>
      <c r="B22" s="87" t="s">
        <v>41</v>
      </c>
      <c r="C22" s="129">
        <v>0.3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71"/>
    </row>
    <row r="23" spans="1:23" ht="13.15" customHeight="1" x14ac:dyDescent="0.2">
      <c r="A23" s="15"/>
      <c r="B23" s="87" t="s">
        <v>42</v>
      </c>
      <c r="C23" s="130">
        <v>0.4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71"/>
    </row>
    <row r="24" spans="1:23" ht="13.15" customHeight="1" x14ac:dyDescent="0.2">
      <c r="A24" s="15"/>
      <c r="B24" s="87" t="s">
        <v>43</v>
      </c>
      <c r="C24" s="131">
        <v>0.3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71"/>
    </row>
    <row r="25" spans="1:23" ht="13.15" customHeight="1" x14ac:dyDescent="0.2">
      <c r="A25" s="15"/>
      <c r="B25" s="79" t="s">
        <v>63</v>
      </c>
      <c r="C25" s="106"/>
      <c r="D25" s="16"/>
      <c r="E25" s="16" t="s">
        <v>41</v>
      </c>
      <c r="F25" s="16" t="s">
        <v>42</v>
      </c>
      <c r="G25" s="16" t="s">
        <v>43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71"/>
    </row>
    <row r="26" spans="1:23" ht="13.15" customHeight="1" x14ac:dyDescent="0.2">
      <c r="A26" s="15"/>
      <c r="B26" s="87" t="s">
        <v>64</v>
      </c>
      <c r="C26" s="106"/>
      <c r="D26" s="16"/>
      <c r="E26" s="132">
        <v>0</v>
      </c>
      <c r="F26" s="133">
        <v>0.4</v>
      </c>
      <c r="G26" s="134">
        <v>0.6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71"/>
    </row>
    <row r="27" spans="1:23" ht="13.15" customHeight="1" x14ac:dyDescent="0.2">
      <c r="A27" s="15"/>
      <c r="B27" s="87" t="s">
        <v>65</v>
      </c>
      <c r="C27" s="106"/>
      <c r="D27" s="16"/>
      <c r="E27" s="135">
        <v>0.6</v>
      </c>
      <c r="F27" s="136">
        <v>0.4</v>
      </c>
      <c r="G27" s="137">
        <v>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71"/>
    </row>
    <row r="28" spans="1:23" ht="13.15" customHeight="1" x14ac:dyDescent="0.2">
      <c r="A28" s="15"/>
      <c r="B28" s="87" t="s">
        <v>66</v>
      </c>
      <c r="C28" s="106"/>
      <c r="D28" s="16"/>
      <c r="E28" s="138">
        <v>0.3</v>
      </c>
      <c r="F28" s="139">
        <v>0.4</v>
      </c>
      <c r="G28" s="140">
        <v>0.3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71"/>
    </row>
    <row r="29" spans="1:23" ht="13.15" customHeight="1" x14ac:dyDescent="0.2">
      <c r="A29" s="15"/>
      <c r="B29" s="126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70"/>
    </row>
    <row r="30" spans="1:23" s="6" customFormat="1" ht="13.15" customHeight="1" x14ac:dyDescent="0.2"/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>
    <pageSetUpPr fitToPage="1"/>
  </sheetPr>
  <dimension ref="A1:W163"/>
  <sheetViews>
    <sheetView showGridLines="0" zoomScaleNormal="66" zoomScaleSheetLayoutView="75" workbookViewId="0">
      <selection activeCell="A26" sqref="A26"/>
    </sheetView>
  </sheetViews>
  <sheetFormatPr defaultColWidth="0" defaultRowHeight="12.75" zeroHeight="1" x14ac:dyDescent="0.2"/>
  <cols>
    <col min="1" max="1" width="2.7109375" style="12" customWidth="1"/>
    <col min="2" max="2" width="40.7109375" style="12" customWidth="1"/>
    <col min="3" max="3" width="15.7109375" style="12" customWidth="1"/>
    <col min="4" max="4" width="14.7109375" style="12" customWidth="1"/>
    <col min="5" max="22" width="7.7109375" style="12" customWidth="1"/>
    <col min="23" max="23" width="2.7109375" style="12" customWidth="1"/>
    <col min="24" max="24" width="8.85546875" style="12" customWidth="1"/>
    <col min="25" max="16384" width="0" style="12" hidden="1"/>
  </cols>
  <sheetData>
    <row r="1" spans="1:23" ht="13.15" customHeight="1" x14ac:dyDescent="0.2">
      <c r="A1" s="13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23" s="29" customFormat="1" ht="13.15" customHeight="1" x14ac:dyDescent="0.2">
      <c r="A2" s="27"/>
      <c r="B2" s="54"/>
      <c r="C2" s="55"/>
      <c r="D2" s="56" t="s">
        <v>35</v>
      </c>
      <c r="E2" s="56">
        <f>Start_year</f>
        <v>2008</v>
      </c>
      <c r="F2" s="56">
        <f>E2+1</f>
        <v>2009</v>
      </c>
      <c r="G2" s="56">
        <f t="shared" ref="G2:V2" si="0">F2+1</f>
        <v>2010</v>
      </c>
      <c r="H2" s="56">
        <f t="shared" si="0"/>
        <v>2011</v>
      </c>
      <c r="I2" s="56">
        <f t="shared" si="0"/>
        <v>2012</v>
      </c>
      <c r="J2" s="56">
        <f t="shared" si="0"/>
        <v>2013</v>
      </c>
      <c r="K2" s="56">
        <f t="shared" si="0"/>
        <v>2014</v>
      </c>
      <c r="L2" s="56">
        <f t="shared" si="0"/>
        <v>2015</v>
      </c>
      <c r="M2" s="56">
        <f t="shared" si="0"/>
        <v>2016</v>
      </c>
      <c r="N2" s="56">
        <f t="shared" si="0"/>
        <v>2017</v>
      </c>
      <c r="O2" s="56">
        <f t="shared" si="0"/>
        <v>2018</v>
      </c>
      <c r="P2" s="56">
        <f t="shared" si="0"/>
        <v>2019</v>
      </c>
      <c r="Q2" s="56">
        <f t="shared" si="0"/>
        <v>2020</v>
      </c>
      <c r="R2" s="56">
        <f t="shared" si="0"/>
        <v>2021</v>
      </c>
      <c r="S2" s="56">
        <f t="shared" si="0"/>
        <v>2022</v>
      </c>
      <c r="T2" s="56">
        <f t="shared" si="0"/>
        <v>2023</v>
      </c>
      <c r="U2" s="56">
        <f t="shared" si="0"/>
        <v>2024</v>
      </c>
      <c r="V2" s="56">
        <f t="shared" si="0"/>
        <v>2025</v>
      </c>
      <c r="W2" s="57"/>
    </row>
    <row r="3" spans="1:23" ht="13.15" customHeight="1" x14ac:dyDescent="0.2">
      <c r="A3" s="6"/>
      <c r="B3" s="6"/>
      <c r="C3" s="7"/>
      <c r="D3" s="7"/>
      <c r="E3" s="7"/>
      <c r="F3" s="8"/>
      <c r="G3" s="8"/>
      <c r="H3" s="9"/>
      <c r="I3" s="10"/>
      <c r="J3" s="10"/>
      <c r="K3" s="10"/>
      <c r="L3" s="10"/>
      <c r="M3" s="10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13.15" customHeight="1" x14ac:dyDescent="0.2">
      <c r="B4" s="58" t="s">
        <v>15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60"/>
    </row>
    <row r="5" spans="1:23" ht="13.15" customHeight="1" x14ac:dyDescent="0.2">
      <c r="B5" s="1"/>
      <c r="C5" s="47"/>
      <c r="D5" s="47"/>
      <c r="E5" s="88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90"/>
    </row>
    <row r="6" spans="1:23" ht="13.15" customHeight="1" x14ac:dyDescent="0.2">
      <c r="B6" s="1" t="s">
        <v>4</v>
      </c>
      <c r="C6" s="49"/>
      <c r="D6" s="48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90"/>
    </row>
    <row r="7" spans="1:23" ht="13.15" customHeight="1" x14ac:dyDescent="0.2">
      <c r="B7" s="34" t="s">
        <v>17</v>
      </c>
      <c r="C7" s="50"/>
      <c r="D7" s="103">
        <f t="array" ref="D7">SUM(E7:V7*discount_factor)</f>
        <v>-11.454545454545453</v>
      </c>
      <c r="E7" s="91">
        <f t="shared" ref="E7:V7" si="1">-dev_cost_phase1</f>
        <v>-6</v>
      </c>
      <c r="F7" s="91">
        <f t="shared" si="1"/>
        <v>-6</v>
      </c>
      <c r="G7" s="91">
        <f t="shared" si="1"/>
        <v>0</v>
      </c>
      <c r="H7" s="91">
        <f t="shared" si="1"/>
        <v>0</v>
      </c>
      <c r="I7" s="91">
        <f t="shared" si="1"/>
        <v>0</v>
      </c>
      <c r="J7" s="91">
        <f t="shared" si="1"/>
        <v>0</v>
      </c>
      <c r="K7" s="91">
        <f t="shared" si="1"/>
        <v>0</v>
      </c>
      <c r="L7" s="91">
        <f t="shared" si="1"/>
        <v>0</v>
      </c>
      <c r="M7" s="91">
        <f t="shared" si="1"/>
        <v>0</v>
      </c>
      <c r="N7" s="91">
        <f t="shared" si="1"/>
        <v>0</v>
      </c>
      <c r="O7" s="91">
        <f t="shared" si="1"/>
        <v>0</v>
      </c>
      <c r="P7" s="91">
        <f t="shared" si="1"/>
        <v>0</v>
      </c>
      <c r="Q7" s="91">
        <f t="shared" si="1"/>
        <v>0</v>
      </c>
      <c r="R7" s="91">
        <f t="shared" si="1"/>
        <v>0</v>
      </c>
      <c r="S7" s="91">
        <f t="shared" si="1"/>
        <v>0</v>
      </c>
      <c r="T7" s="91">
        <f t="shared" si="1"/>
        <v>0</v>
      </c>
      <c r="U7" s="91">
        <f t="shared" si="1"/>
        <v>0</v>
      </c>
      <c r="V7" s="91">
        <f t="shared" si="1"/>
        <v>0</v>
      </c>
      <c r="W7" s="92"/>
    </row>
    <row r="8" spans="1:23" ht="13.15" customHeight="1" x14ac:dyDescent="0.2">
      <c r="B8" s="34" t="s">
        <v>18</v>
      </c>
      <c r="C8" s="50"/>
      <c r="D8" s="103">
        <f t="array" ref="D8">SUM(E8:V8*discount_factor)</f>
        <v>-39.143501126972197</v>
      </c>
      <c r="E8" s="91">
        <f>-dev_cost_phase2*Phase_1_success</f>
        <v>0</v>
      </c>
      <c r="F8" s="91">
        <f t="shared" ref="F8:V8" si="2">-dev_cost_phase2*Phase_1_success</f>
        <v>0</v>
      </c>
      <c r="G8" s="91">
        <f t="shared" si="2"/>
        <v>-21</v>
      </c>
      <c r="H8" s="91">
        <f t="shared" si="2"/>
        <v>-29</v>
      </c>
      <c r="I8" s="91">
        <f t="shared" si="2"/>
        <v>0</v>
      </c>
      <c r="J8" s="91">
        <f t="shared" si="2"/>
        <v>0</v>
      </c>
      <c r="K8" s="91">
        <f t="shared" si="2"/>
        <v>0</v>
      </c>
      <c r="L8" s="91">
        <f t="shared" si="2"/>
        <v>0</v>
      </c>
      <c r="M8" s="91">
        <f t="shared" si="2"/>
        <v>0</v>
      </c>
      <c r="N8" s="91">
        <f t="shared" si="2"/>
        <v>0</v>
      </c>
      <c r="O8" s="91">
        <f t="shared" si="2"/>
        <v>0</v>
      </c>
      <c r="P8" s="91">
        <f t="shared" si="2"/>
        <v>0</v>
      </c>
      <c r="Q8" s="91">
        <f t="shared" si="2"/>
        <v>0</v>
      </c>
      <c r="R8" s="91">
        <f t="shared" si="2"/>
        <v>0</v>
      </c>
      <c r="S8" s="91">
        <f t="shared" si="2"/>
        <v>0</v>
      </c>
      <c r="T8" s="91">
        <f t="shared" si="2"/>
        <v>0</v>
      </c>
      <c r="U8" s="91">
        <f t="shared" si="2"/>
        <v>0</v>
      </c>
      <c r="V8" s="91">
        <f t="shared" si="2"/>
        <v>0</v>
      </c>
      <c r="W8" s="92"/>
    </row>
    <row r="9" spans="1:23" ht="13.15" customHeight="1" x14ac:dyDescent="0.2">
      <c r="B9" s="34" t="s">
        <v>19</v>
      </c>
      <c r="C9" s="50"/>
      <c r="D9" s="103">
        <f t="array" ref="D9">SUM(E9:V9*discount_factor)</f>
        <v>-115.72844513962542</v>
      </c>
      <c r="E9" s="91">
        <f>-dev_cost_phase3*Phase_2_success</f>
        <v>0</v>
      </c>
      <c r="F9" s="91">
        <f t="shared" ref="F9:V9" si="3">-dev_cost_phase3*Phase_2_success</f>
        <v>0</v>
      </c>
      <c r="G9" s="91">
        <f t="shared" si="3"/>
        <v>0</v>
      </c>
      <c r="H9" s="91">
        <f t="shared" si="3"/>
        <v>0</v>
      </c>
      <c r="I9" s="91">
        <f t="shared" si="3"/>
        <v>-52</v>
      </c>
      <c r="J9" s="91">
        <f t="shared" si="3"/>
        <v>-61</v>
      </c>
      <c r="K9" s="91">
        <f t="shared" si="3"/>
        <v>-75</v>
      </c>
      <c r="L9" s="91">
        <f t="shared" si="3"/>
        <v>0</v>
      </c>
      <c r="M9" s="91">
        <f t="shared" si="3"/>
        <v>0</v>
      </c>
      <c r="N9" s="91">
        <f t="shared" si="3"/>
        <v>0</v>
      </c>
      <c r="O9" s="91">
        <f t="shared" si="3"/>
        <v>0</v>
      </c>
      <c r="P9" s="91">
        <f t="shared" si="3"/>
        <v>0</v>
      </c>
      <c r="Q9" s="91">
        <f t="shared" si="3"/>
        <v>0</v>
      </c>
      <c r="R9" s="91">
        <f t="shared" si="3"/>
        <v>0</v>
      </c>
      <c r="S9" s="91">
        <f t="shared" si="3"/>
        <v>0</v>
      </c>
      <c r="T9" s="91">
        <f t="shared" si="3"/>
        <v>0</v>
      </c>
      <c r="U9" s="91">
        <f t="shared" si="3"/>
        <v>0</v>
      </c>
      <c r="V9" s="91">
        <f t="shared" si="3"/>
        <v>0</v>
      </c>
      <c r="W9" s="92"/>
    </row>
    <row r="10" spans="1:23" ht="13.15" customHeight="1" x14ac:dyDescent="0.2">
      <c r="B10" s="34" t="s">
        <v>20</v>
      </c>
      <c r="C10" s="50"/>
      <c r="D10" s="103">
        <f t="array" ref="D10">SUM(E10:V10*discount_factor)</f>
        <v>-7.6973717734605964</v>
      </c>
      <c r="E10" s="91">
        <f>-dev_cost_reg*Phase_3_success</f>
        <v>0</v>
      </c>
      <c r="F10" s="91">
        <f t="shared" ref="F10:V10" si="4">-dev_cost_reg*Phase_3_success</f>
        <v>0</v>
      </c>
      <c r="G10" s="91">
        <f t="shared" si="4"/>
        <v>0</v>
      </c>
      <c r="H10" s="91">
        <f t="shared" si="4"/>
        <v>0</v>
      </c>
      <c r="I10" s="91">
        <f t="shared" si="4"/>
        <v>0</v>
      </c>
      <c r="J10" s="91">
        <f t="shared" si="4"/>
        <v>0</v>
      </c>
      <c r="K10" s="91">
        <f t="shared" si="4"/>
        <v>0</v>
      </c>
      <c r="L10" s="91">
        <f t="shared" si="4"/>
        <v>-15</v>
      </c>
      <c r="M10" s="91">
        <f t="shared" si="4"/>
        <v>0</v>
      </c>
      <c r="N10" s="91">
        <f t="shared" si="4"/>
        <v>0</v>
      </c>
      <c r="O10" s="91">
        <f t="shared" si="4"/>
        <v>0</v>
      </c>
      <c r="P10" s="91">
        <f t="shared" si="4"/>
        <v>0</v>
      </c>
      <c r="Q10" s="91">
        <f t="shared" si="4"/>
        <v>0</v>
      </c>
      <c r="R10" s="91">
        <f t="shared" si="4"/>
        <v>0</v>
      </c>
      <c r="S10" s="91">
        <f t="shared" si="4"/>
        <v>0</v>
      </c>
      <c r="T10" s="91">
        <f t="shared" si="4"/>
        <v>0</v>
      </c>
      <c r="U10" s="91">
        <f t="shared" si="4"/>
        <v>0</v>
      </c>
      <c r="V10" s="91">
        <f t="shared" si="4"/>
        <v>0</v>
      </c>
      <c r="W10" s="92"/>
    </row>
    <row r="11" spans="1:23" ht="13.15" customHeight="1" x14ac:dyDescent="0.2">
      <c r="B11" s="1" t="s">
        <v>1</v>
      </c>
      <c r="C11" s="50"/>
      <c r="D11" s="91">
        <f>SUM(D7:D10)</f>
        <v>-174.02386349460366</v>
      </c>
      <c r="E11" s="91">
        <f>SUM(E7:E10)</f>
        <v>-6</v>
      </c>
      <c r="F11" s="91">
        <f t="shared" ref="F11:V11" si="5">SUM(F7:F10)</f>
        <v>-6</v>
      </c>
      <c r="G11" s="91">
        <f t="shared" si="5"/>
        <v>-21</v>
      </c>
      <c r="H11" s="91">
        <f t="shared" si="5"/>
        <v>-29</v>
      </c>
      <c r="I11" s="91">
        <f t="shared" si="5"/>
        <v>-52</v>
      </c>
      <c r="J11" s="91">
        <f t="shared" si="5"/>
        <v>-61</v>
      </c>
      <c r="K11" s="91">
        <f t="shared" si="5"/>
        <v>-75</v>
      </c>
      <c r="L11" s="91">
        <f t="shared" si="5"/>
        <v>-15</v>
      </c>
      <c r="M11" s="91">
        <f t="shared" si="5"/>
        <v>0</v>
      </c>
      <c r="N11" s="91">
        <f t="shared" si="5"/>
        <v>0</v>
      </c>
      <c r="O11" s="91">
        <f t="shared" si="5"/>
        <v>0</v>
      </c>
      <c r="P11" s="91">
        <f t="shared" si="5"/>
        <v>0</v>
      </c>
      <c r="Q11" s="91">
        <f t="shared" si="5"/>
        <v>0</v>
      </c>
      <c r="R11" s="91">
        <f t="shared" si="5"/>
        <v>0</v>
      </c>
      <c r="S11" s="91">
        <f t="shared" si="5"/>
        <v>0</v>
      </c>
      <c r="T11" s="91">
        <f t="shared" si="5"/>
        <v>0</v>
      </c>
      <c r="U11" s="91">
        <f t="shared" si="5"/>
        <v>0</v>
      </c>
      <c r="V11" s="91">
        <f t="shared" si="5"/>
        <v>0</v>
      </c>
      <c r="W11" s="92"/>
    </row>
    <row r="12" spans="1:23" ht="13.15" customHeight="1" x14ac:dyDescent="0.2">
      <c r="B12" s="1"/>
      <c r="C12" s="50"/>
      <c r="D12" s="103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2"/>
    </row>
    <row r="13" spans="1:23" ht="13.15" customHeight="1" x14ac:dyDescent="0.2">
      <c r="B13" s="1" t="s">
        <v>5</v>
      </c>
      <c r="C13" s="50"/>
      <c r="D13" s="103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2"/>
    </row>
    <row r="14" spans="1:23" ht="13.15" customHeight="1" x14ac:dyDescent="0.2">
      <c r="B14" s="34" t="s">
        <v>6</v>
      </c>
      <c r="C14" s="50"/>
      <c r="D14" s="103">
        <f t="array" ref="D14">SUM(E14:V14*discount_factor)</f>
        <v>-122.90136931625419</v>
      </c>
      <c r="E14" s="91">
        <f>-launch_cost*FDA_approval</f>
        <v>0</v>
      </c>
      <c r="F14" s="91">
        <f t="shared" ref="F14:V14" si="6">-launch_cost*FDA_approval</f>
        <v>0</v>
      </c>
      <c r="G14" s="91">
        <f t="shared" si="6"/>
        <v>0</v>
      </c>
      <c r="H14" s="91">
        <f t="shared" si="6"/>
        <v>0</v>
      </c>
      <c r="I14" s="91">
        <f t="shared" si="6"/>
        <v>0</v>
      </c>
      <c r="J14" s="91">
        <f t="shared" si="6"/>
        <v>0</v>
      </c>
      <c r="K14" s="91">
        <f t="shared" si="6"/>
        <v>-95</v>
      </c>
      <c r="L14" s="91">
        <f t="shared" si="6"/>
        <v>-135</v>
      </c>
      <c r="M14" s="91">
        <f t="shared" si="6"/>
        <v>0</v>
      </c>
      <c r="N14" s="91">
        <f t="shared" si="6"/>
        <v>0</v>
      </c>
      <c r="O14" s="91">
        <f t="shared" si="6"/>
        <v>0</v>
      </c>
      <c r="P14" s="91">
        <f t="shared" si="6"/>
        <v>0</v>
      </c>
      <c r="Q14" s="91">
        <f t="shared" si="6"/>
        <v>0</v>
      </c>
      <c r="R14" s="91">
        <f t="shared" si="6"/>
        <v>0</v>
      </c>
      <c r="S14" s="91">
        <f t="shared" si="6"/>
        <v>0</v>
      </c>
      <c r="T14" s="91">
        <f t="shared" si="6"/>
        <v>0</v>
      </c>
      <c r="U14" s="91">
        <f t="shared" si="6"/>
        <v>0</v>
      </c>
      <c r="V14" s="91">
        <f t="shared" si="6"/>
        <v>0</v>
      </c>
      <c r="W14" s="92"/>
    </row>
    <row r="15" spans="1:23" ht="13.15" customHeight="1" x14ac:dyDescent="0.2">
      <c r="B15" s="34" t="s">
        <v>7</v>
      </c>
      <c r="C15" s="50"/>
      <c r="D15" s="103"/>
      <c r="E15" s="91">
        <f>-marketing_cost_rate*E28*FDA_approval</f>
        <v>0</v>
      </c>
      <c r="F15" s="91">
        <f t="shared" ref="F15:V15" si="7">-marketing_cost_rate*F28*FDA_approval</f>
        <v>0</v>
      </c>
      <c r="G15" s="91">
        <f t="shared" si="7"/>
        <v>0</v>
      </c>
      <c r="H15" s="91">
        <f t="shared" si="7"/>
        <v>0</v>
      </c>
      <c r="I15" s="91">
        <f t="shared" si="7"/>
        <v>0</v>
      </c>
      <c r="J15" s="91">
        <f t="shared" si="7"/>
        <v>0</v>
      </c>
      <c r="K15" s="91">
        <f t="shared" si="7"/>
        <v>0</v>
      </c>
      <c r="L15" s="91">
        <f t="shared" si="7"/>
        <v>-20.25</v>
      </c>
      <c r="M15" s="91">
        <f t="shared" si="7"/>
        <v>-40.5</v>
      </c>
      <c r="N15" s="91">
        <f t="shared" si="7"/>
        <v>-60.75</v>
      </c>
      <c r="O15" s="91">
        <f t="shared" si="7"/>
        <v>-81</v>
      </c>
      <c r="P15" s="91">
        <f t="shared" si="7"/>
        <v>-101.25</v>
      </c>
      <c r="Q15" s="91">
        <f t="shared" si="7"/>
        <v>-101.25</v>
      </c>
      <c r="R15" s="91">
        <f t="shared" si="7"/>
        <v>-101.25</v>
      </c>
      <c r="S15" s="91">
        <f t="shared" si="7"/>
        <v>-101.25</v>
      </c>
      <c r="T15" s="91">
        <f t="shared" si="7"/>
        <v>-101.25</v>
      </c>
      <c r="U15" s="91">
        <f t="shared" si="7"/>
        <v>-101.25</v>
      </c>
      <c r="V15" s="91">
        <f t="shared" si="7"/>
        <v>0</v>
      </c>
      <c r="W15" s="92"/>
    </row>
    <row r="16" spans="1:23" ht="13.15" customHeight="1" x14ac:dyDescent="0.2">
      <c r="B16" s="1" t="s">
        <v>1</v>
      </c>
      <c r="C16" s="50"/>
      <c r="D16" s="103"/>
      <c r="E16" s="91">
        <f>SUM(E14:E15)</f>
        <v>0</v>
      </c>
      <c r="F16" s="91">
        <f t="shared" ref="F16:V16" si="8">SUM(F14:F15)</f>
        <v>0</v>
      </c>
      <c r="G16" s="91">
        <f t="shared" si="8"/>
        <v>0</v>
      </c>
      <c r="H16" s="91">
        <f t="shared" si="8"/>
        <v>0</v>
      </c>
      <c r="I16" s="91">
        <f t="shared" si="8"/>
        <v>0</v>
      </c>
      <c r="J16" s="91">
        <f t="shared" si="8"/>
        <v>0</v>
      </c>
      <c r="K16" s="91">
        <f t="shared" si="8"/>
        <v>-95</v>
      </c>
      <c r="L16" s="91">
        <f t="shared" si="8"/>
        <v>-155.25</v>
      </c>
      <c r="M16" s="91">
        <f t="shared" si="8"/>
        <v>-40.5</v>
      </c>
      <c r="N16" s="91">
        <f t="shared" si="8"/>
        <v>-60.75</v>
      </c>
      <c r="O16" s="91">
        <f t="shared" si="8"/>
        <v>-81</v>
      </c>
      <c r="P16" s="91">
        <f t="shared" si="8"/>
        <v>-101.25</v>
      </c>
      <c r="Q16" s="91">
        <f t="shared" si="8"/>
        <v>-101.25</v>
      </c>
      <c r="R16" s="91">
        <f t="shared" si="8"/>
        <v>-101.25</v>
      </c>
      <c r="S16" s="91">
        <f t="shared" si="8"/>
        <v>-101.25</v>
      </c>
      <c r="T16" s="91">
        <f t="shared" si="8"/>
        <v>-101.25</v>
      </c>
      <c r="U16" s="91">
        <f t="shared" si="8"/>
        <v>-101.25</v>
      </c>
      <c r="V16" s="91">
        <f t="shared" si="8"/>
        <v>0</v>
      </c>
      <c r="W16" s="92"/>
    </row>
    <row r="17" spans="2:23" ht="13.15" customHeight="1" x14ac:dyDescent="0.2">
      <c r="B17" s="35"/>
      <c r="C17" s="50"/>
      <c r="D17" s="103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2"/>
    </row>
    <row r="18" spans="2:23" ht="13.15" customHeight="1" x14ac:dyDescent="0.2">
      <c r="B18" s="1" t="s">
        <v>25</v>
      </c>
      <c r="C18" s="50"/>
      <c r="D18" s="103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/>
    </row>
    <row r="19" spans="2:23" ht="13.15" customHeight="1" x14ac:dyDescent="0.2">
      <c r="B19" s="34" t="s">
        <v>26</v>
      </c>
      <c r="C19" s="50"/>
      <c r="D19" s="103"/>
      <c r="E19" s="91">
        <f>-COGS*E28</f>
        <v>0</v>
      </c>
      <c r="F19" s="91">
        <f t="shared" ref="F19:V19" si="9">-COGS*F28</f>
        <v>0</v>
      </c>
      <c r="G19" s="91">
        <f t="shared" si="9"/>
        <v>0</v>
      </c>
      <c r="H19" s="91">
        <f t="shared" si="9"/>
        <v>0</v>
      </c>
      <c r="I19" s="91">
        <f t="shared" si="9"/>
        <v>0</v>
      </c>
      <c r="J19" s="91">
        <f t="shared" si="9"/>
        <v>0</v>
      </c>
      <c r="K19" s="91">
        <f t="shared" si="9"/>
        <v>0</v>
      </c>
      <c r="L19" s="91">
        <f t="shared" si="9"/>
        <v>-9.7199999999999989</v>
      </c>
      <c r="M19" s="91">
        <f t="shared" si="9"/>
        <v>-19.439999999999998</v>
      </c>
      <c r="N19" s="91">
        <f t="shared" si="9"/>
        <v>-29.16</v>
      </c>
      <c r="O19" s="91">
        <f t="shared" si="9"/>
        <v>-38.879999999999995</v>
      </c>
      <c r="P19" s="91">
        <f t="shared" si="9"/>
        <v>-48.6</v>
      </c>
      <c r="Q19" s="91">
        <f t="shared" si="9"/>
        <v>-48.6</v>
      </c>
      <c r="R19" s="91">
        <f t="shared" si="9"/>
        <v>-48.6</v>
      </c>
      <c r="S19" s="91">
        <f t="shared" si="9"/>
        <v>-48.6</v>
      </c>
      <c r="T19" s="91">
        <f t="shared" si="9"/>
        <v>-48.6</v>
      </c>
      <c r="U19" s="91">
        <f t="shared" si="9"/>
        <v>-48.6</v>
      </c>
      <c r="V19" s="91">
        <f t="shared" si="9"/>
        <v>0</v>
      </c>
      <c r="W19" s="92"/>
    </row>
    <row r="20" spans="2:23" ht="13.15" customHeight="1" x14ac:dyDescent="0.2">
      <c r="B20" s="34" t="s">
        <v>28</v>
      </c>
      <c r="C20" s="50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91"/>
      <c r="O20" s="91"/>
      <c r="P20" s="91"/>
      <c r="Q20" s="91"/>
      <c r="R20" s="91"/>
      <c r="S20" s="91"/>
      <c r="T20" s="91"/>
      <c r="U20" s="91"/>
      <c r="V20" s="91"/>
      <c r="W20" s="92"/>
    </row>
    <row r="21" spans="2:23" ht="13.15" customHeight="1" x14ac:dyDescent="0.2">
      <c r="B21" s="122" t="s">
        <v>17</v>
      </c>
      <c r="C21" s="50"/>
      <c r="D21" s="103">
        <f t="array" ref="D21">SUM(E21:V21*discount_factor)</f>
        <v>-3.6363636363636362</v>
      </c>
      <c r="E21" s="91"/>
      <c r="F21" s="91">
        <f>-Phase_1_payment*Phase_1_success</f>
        <v>-4</v>
      </c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2"/>
    </row>
    <row r="22" spans="2:23" ht="13.15" customHeight="1" x14ac:dyDescent="0.2">
      <c r="B22" s="122" t="s">
        <v>18</v>
      </c>
      <c r="C22" s="50"/>
      <c r="D22" s="103">
        <f t="array" ref="D22">SUM(E22:V22*discount_factor)</f>
        <v>-6.0105184072126212</v>
      </c>
      <c r="E22" s="91"/>
      <c r="F22" s="91"/>
      <c r="G22" s="91"/>
      <c r="H22" s="91">
        <f>-Phase_2_payment*Phase_2_success</f>
        <v>-8</v>
      </c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2"/>
    </row>
    <row r="23" spans="2:23" ht="13.15" customHeight="1" x14ac:dyDescent="0.2">
      <c r="B23" s="122" t="s">
        <v>19</v>
      </c>
      <c r="C23" s="50"/>
      <c r="D23" s="103">
        <f t="array" ref="D23">SUM(E23:V23*discount_factor)</f>
        <v>-4.5157914404302169</v>
      </c>
      <c r="E23" s="91"/>
      <c r="F23" s="91"/>
      <c r="G23" s="91"/>
      <c r="H23" s="91"/>
      <c r="I23" s="91"/>
      <c r="J23" s="91"/>
      <c r="K23" s="91">
        <f>-Phase_3_payment*Phase_3_success</f>
        <v>-8</v>
      </c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2"/>
    </row>
    <row r="24" spans="2:23" ht="13.15" customHeight="1" x14ac:dyDescent="0.2">
      <c r="B24" s="122" t="s">
        <v>20</v>
      </c>
      <c r="C24" s="50"/>
      <c r="D24" s="103">
        <f t="array" ref="D24">SUM(E24:V24*discount_factor)</f>
        <v>-6.1578974187684778</v>
      </c>
      <c r="E24" s="91"/>
      <c r="F24" s="91"/>
      <c r="G24" s="91"/>
      <c r="H24" s="91"/>
      <c r="I24" s="91"/>
      <c r="J24" s="91"/>
      <c r="K24" s="91"/>
      <c r="L24" s="91">
        <f>-Registration_payment*FDA_approval</f>
        <v>-12</v>
      </c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2"/>
    </row>
    <row r="25" spans="2:23" ht="13.15" customHeight="1" x14ac:dyDescent="0.2">
      <c r="B25" s="34" t="s">
        <v>27</v>
      </c>
      <c r="C25" s="50"/>
      <c r="D25" s="103">
        <f t="array" ref="D25">SUM(E25:V25*discount_factor)</f>
        <v>-51.258203622492303</v>
      </c>
      <c r="E25" s="91">
        <f>-royalty_rate*E28</f>
        <v>0</v>
      </c>
      <c r="F25" s="91">
        <f t="shared" ref="F25:V25" si="10">-royalty_rate*F28</f>
        <v>0</v>
      </c>
      <c r="G25" s="91">
        <f t="shared" si="10"/>
        <v>0</v>
      </c>
      <c r="H25" s="91">
        <f t="shared" si="10"/>
        <v>0</v>
      </c>
      <c r="I25" s="91">
        <f t="shared" si="10"/>
        <v>0</v>
      </c>
      <c r="J25" s="91">
        <f t="shared" si="10"/>
        <v>0</v>
      </c>
      <c r="K25" s="91">
        <f t="shared" si="10"/>
        <v>0</v>
      </c>
      <c r="L25" s="91">
        <f t="shared" si="10"/>
        <v>-4.05</v>
      </c>
      <c r="M25" s="91">
        <f t="shared" si="10"/>
        <v>-8.1</v>
      </c>
      <c r="N25" s="91">
        <f t="shared" si="10"/>
        <v>-12.15</v>
      </c>
      <c r="O25" s="91">
        <f t="shared" si="10"/>
        <v>-16.2</v>
      </c>
      <c r="P25" s="91">
        <f t="shared" si="10"/>
        <v>-20.25</v>
      </c>
      <c r="Q25" s="91">
        <f t="shared" si="10"/>
        <v>-20.25</v>
      </c>
      <c r="R25" s="91">
        <f t="shared" si="10"/>
        <v>-20.25</v>
      </c>
      <c r="S25" s="91">
        <f t="shared" si="10"/>
        <v>-20.25</v>
      </c>
      <c r="T25" s="91">
        <f t="shared" si="10"/>
        <v>-20.25</v>
      </c>
      <c r="U25" s="91">
        <f t="shared" si="10"/>
        <v>-20.25</v>
      </c>
      <c r="V25" s="91">
        <f t="shared" si="10"/>
        <v>0</v>
      </c>
      <c r="W25" s="92"/>
    </row>
    <row r="26" spans="2:23" ht="13.15" customHeight="1" x14ac:dyDescent="0.2">
      <c r="B26" s="1" t="s">
        <v>1</v>
      </c>
      <c r="C26" s="50"/>
      <c r="D26" s="103"/>
      <c r="E26" s="91">
        <f>SUM(E19:E25)*FDA_approval</f>
        <v>0</v>
      </c>
      <c r="F26" s="91">
        <f t="shared" ref="F26:V26" si="11">SUM(F19:F25)*FDA_approval</f>
        <v>-4</v>
      </c>
      <c r="G26" s="91">
        <f t="shared" si="11"/>
        <v>0</v>
      </c>
      <c r="H26" s="91">
        <f t="shared" si="11"/>
        <v>-8</v>
      </c>
      <c r="I26" s="91">
        <f t="shared" si="11"/>
        <v>0</v>
      </c>
      <c r="J26" s="91">
        <f t="shared" si="11"/>
        <v>0</v>
      </c>
      <c r="K26" s="91">
        <f t="shared" si="11"/>
        <v>-8</v>
      </c>
      <c r="L26" s="91">
        <f t="shared" si="11"/>
        <v>-25.77</v>
      </c>
      <c r="M26" s="91">
        <f t="shared" si="11"/>
        <v>-27.54</v>
      </c>
      <c r="N26" s="91">
        <f t="shared" si="11"/>
        <v>-41.31</v>
      </c>
      <c r="O26" s="91">
        <f t="shared" si="11"/>
        <v>-55.08</v>
      </c>
      <c r="P26" s="91">
        <f t="shared" si="11"/>
        <v>-68.849999999999994</v>
      </c>
      <c r="Q26" s="91">
        <f t="shared" si="11"/>
        <v>-68.849999999999994</v>
      </c>
      <c r="R26" s="91">
        <f t="shared" si="11"/>
        <v>-68.849999999999994</v>
      </c>
      <c r="S26" s="91">
        <f t="shared" si="11"/>
        <v>-68.849999999999994</v>
      </c>
      <c r="T26" s="91">
        <f t="shared" si="11"/>
        <v>-68.849999999999994</v>
      </c>
      <c r="U26" s="91">
        <f t="shared" si="11"/>
        <v>-68.849999999999994</v>
      </c>
      <c r="V26" s="91">
        <f t="shared" si="11"/>
        <v>0</v>
      </c>
      <c r="W26" s="92"/>
    </row>
    <row r="27" spans="2:23" ht="13.15" customHeight="1" x14ac:dyDescent="0.2">
      <c r="B27" s="1"/>
      <c r="C27" s="50"/>
      <c r="D27" s="103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2"/>
    </row>
    <row r="28" spans="2:23" ht="13.15" customHeight="1" x14ac:dyDescent="0.2">
      <c r="B28" s="1" t="s">
        <v>8</v>
      </c>
      <c r="C28" s="50"/>
      <c r="D28" s="103"/>
      <c r="E28" s="91">
        <f>(E2&gt;=launch_year)*(E2&lt;=patent_expiry)*IF(E2&gt;=launch_year+Years_to_peak,Adjusted_peak_sales,Adjusted_peak_sales*(E2-launch_year+1)/Years_to_peak)*FDA_approval</f>
        <v>0</v>
      </c>
      <c r="F28" s="91">
        <f t="shared" ref="F28:V28" si="12">(F2&gt;=launch_year)*(F2&lt;=patent_expiry)*IF(F2&gt;=launch_year+Years_to_peak,Adjusted_peak_sales,Adjusted_peak_sales*(F2-launch_year+1)/Years_to_peak)*FDA_approval</f>
        <v>0</v>
      </c>
      <c r="G28" s="91">
        <f t="shared" si="12"/>
        <v>0</v>
      </c>
      <c r="H28" s="91">
        <f t="shared" si="12"/>
        <v>0</v>
      </c>
      <c r="I28" s="91">
        <f t="shared" si="12"/>
        <v>0</v>
      </c>
      <c r="J28" s="91">
        <f t="shared" si="12"/>
        <v>0</v>
      </c>
      <c r="K28" s="91">
        <f t="shared" si="12"/>
        <v>0</v>
      </c>
      <c r="L28" s="91">
        <f t="shared" si="12"/>
        <v>81</v>
      </c>
      <c r="M28" s="91">
        <f t="shared" si="12"/>
        <v>162</v>
      </c>
      <c r="N28" s="91">
        <f t="shared" si="12"/>
        <v>243</v>
      </c>
      <c r="O28" s="91">
        <f t="shared" si="12"/>
        <v>324</v>
      </c>
      <c r="P28" s="91">
        <f t="shared" si="12"/>
        <v>405</v>
      </c>
      <c r="Q28" s="91">
        <f t="shared" si="12"/>
        <v>405</v>
      </c>
      <c r="R28" s="91">
        <f t="shared" si="12"/>
        <v>405</v>
      </c>
      <c r="S28" s="91">
        <f t="shared" si="12"/>
        <v>405</v>
      </c>
      <c r="T28" s="91">
        <f t="shared" si="12"/>
        <v>405</v>
      </c>
      <c r="U28" s="91">
        <f t="shared" si="12"/>
        <v>405</v>
      </c>
      <c r="V28" s="91">
        <f t="shared" si="12"/>
        <v>0</v>
      </c>
      <c r="W28" s="92"/>
    </row>
    <row r="29" spans="2:23" ht="13.15" customHeight="1" x14ac:dyDescent="0.2">
      <c r="B29" s="35"/>
      <c r="C29" s="50"/>
      <c r="D29" s="103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2"/>
    </row>
    <row r="30" spans="2:23" ht="13.15" customHeight="1" x14ac:dyDescent="0.2">
      <c r="B30" s="1" t="s">
        <v>9</v>
      </c>
      <c r="C30" s="50"/>
      <c r="D30" s="103"/>
      <c r="E30" s="91">
        <f>E11+E16+E26+E28</f>
        <v>-6</v>
      </c>
      <c r="F30" s="91">
        <f t="shared" ref="F30:V30" si="13">F11+F16+F26+F28</f>
        <v>-10</v>
      </c>
      <c r="G30" s="91">
        <f t="shared" si="13"/>
        <v>-21</v>
      </c>
      <c r="H30" s="91">
        <f t="shared" si="13"/>
        <v>-37</v>
      </c>
      <c r="I30" s="91">
        <f t="shared" si="13"/>
        <v>-52</v>
      </c>
      <c r="J30" s="91">
        <f t="shared" si="13"/>
        <v>-61</v>
      </c>
      <c r="K30" s="91">
        <f t="shared" si="13"/>
        <v>-178</v>
      </c>
      <c r="L30" s="91">
        <f t="shared" si="13"/>
        <v>-115.02000000000001</v>
      </c>
      <c r="M30" s="91">
        <f t="shared" si="13"/>
        <v>93.960000000000008</v>
      </c>
      <c r="N30" s="91">
        <f t="shared" si="13"/>
        <v>140.94</v>
      </c>
      <c r="O30" s="91">
        <f t="shared" si="13"/>
        <v>187.92000000000002</v>
      </c>
      <c r="P30" s="91">
        <f t="shared" si="13"/>
        <v>234.9</v>
      </c>
      <c r="Q30" s="91">
        <f t="shared" si="13"/>
        <v>234.9</v>
      </c>
      <c r="R30" s="91">
        <f t="shared" si="13"/>
        <v>234.9</v>
      </c>
      <c r="S30" s="91">
        <f t="shared" si="13"/>
        <v>234.9</v>
      </c>
      <c r="T30" s="91">
        <f t="shared" si="13"/>
        <v>234.9</v>
      </c>
      <c r="U30" s="91">
        <f t="shared" si="13"/>
        <v>234.9</v>
      </c>
      <c r="V30" s="91">
        <f t="shared" si="13"/>
        <v>0</v>
      </c>
      <c r="W30" s="92"/>
    </row>
    <row r="31" spans="2:23" ht="13.15" customHeight="1" x14ac:dyDescent="0.2">
      <c r="B31" s="34" t="s">
        <v>37</v>
      </c>
      <c r="C31" s="50"/>
      <c r="D31" s="103">
        <f t="array" ref="D31">SUM(E31:V31*discount_factor)</f>
        <v>-296.92523281085789</v>
      </c>
      <c r="E31" s="91">
        <f>E11+E14</f>
        <v>-6</v>
      </c>
      <c r="F31" s="91">
        <f t="shared" ref="F31:V31" si="14">F11+F14</f>
        <v>-6</v>
      </c>
      <c r="G31" s="91">
        <f t="shared" si="14"/>
        <v>-21</v>
      </c>
      <c r="H31" s="91">
        <f t="shared" si="14"/>
        <v>-29</v>
      </c>
      <c r="I31" s="91">
        <f t="shared" si="14"/>
        <v>-52</v>
      </c>
      <c r="J31" s="91">
        <f t="shared" si="14"/>
        <v>-61</v>
      </c>
      <c r="K31" s="91">
        <f t="shared" si="14"/>
        <v>-170</v>
      </c>
      <c r="L31" s="91">
        <f t="shared" si="14"/>
        <v>-150</v>
      </c>
      <c r="M31" s="91">
        <f t="shared" si="14"/>
        <v>0</v>
      </c>
      <c r="N31" s="91">
        <f t="shared" si="14"/>
        <v>0</v>
      </c>
      <c r="O31" s="91">
        <f t="shared" si="14"/>
        <v>0</v>
      </c>
      <c r="P31" s="91">
        <f t="shared" si="14"/>
        <v>0</v>
      </c>
      <c r="Q31" s="91">
        <f t="shared" si="14"/>
        <v>0</v>
      </c>
      <c r="R31" s="91">
        <f t="shared" si="14"/>
        <v>0</v>
      </c>
      <c r="S31" s="91">
        <f t="shared" si="14"/>
        <v>0</v>
      </c>
      <c r="T31" s="91">
        <f t="shared" si="14"/>
        <v>0</v>
      </c>
      <c r="U31" s="91">
        <f t="shared" si="14"/>
        <v>0</v>
      </c>
      <c r="V31" s="91">
        <f t="shared" si="14"/>
        <v>0</v>
      </c>
      <c r="W31" s="92"/>
    </row>
    <row r="32" spans="2:23" ht="13.15" customHeight="1" x14ac:dyDescent="0.2">
      <c r="B32" s="34" t="s">
        <v>36</v>
      </c>
      <c r="C32" s="50"/>
      <c r="D32" s="103">
        <f t="array" ref="D32">SUM(E32:V32*discount_factor)</f>
        <v>574.27459111813573</v>
      </c>
      <c r="E32" s="91">
        <f>E15+E26+E28</f>
        <v>0</v>
      </c>
      <c r="F32" s="91">
        <f t="shared" ref="F32:V32" si="15">F15+F26+F28</f>
        <v>-4</v>
      </c>
      <c r="G32" s="91">
        <f t="shared" si="15"/>
        <v>0</v>
      </c>
      <c r="H32" s="91">
        <f t="shared" si="15"/>
        <v>-8</v>
      </c>
      <c r="I32" s="91">
        <f t="shared" si="15"/>
        <v>0</v>
      </c>
      <c r="J32" s="91">
        <f t="shared" si="15"/>
        <v>0</v>
      </c>
      <c r="K32" s="91">
        <f t="shared" si="15"/>
        <v>-8</v>
      </c>
      <c r="L32" s="91">
        <f t="shared" si="15"/>
        <v>34.980000000000004</v>
      </c>
      <c r="M32" s="91">
        <f t="shared" si="15"/>
        <v>93.960000000000008</v>
      </c>
      <c r="N32" s="91">
        <f t="shared" si="15"/>
        <v>140.94</v>
      </c>
      <c r="O32" s="91">
        <f t="shared" si="15"/>
        <v>187.92000000000002</v>
      </c>
      <c r="P32" s="91">
        <f t="shared" si="15"/>
        <v>234.9</v>
      </c>
      <c r="Q32" s="91">
        <f t="shared" si="15"/>
        <v>234.9</v>
      </c>
      <c r="R32" s="91">
        <f t="shared" si="15"/>
        <v>234.9</v>
      </c>
      <c r="S32" s="91">
        <f t="shared" si="15"/>
        <v>234.9</v>
      </c>
      <c r="T32" s="91">
        <f t="shared" si="15"/>
        <v>234.9</v>
      </c>
      <c r="U32" s="91">
        <f t="shared" si="15"/>
        <v>234.9</v>
      </c>
      <c r="V32" s="91">
        <f t="shared" si="15"/>
        <v>0</v>
      </c>
      <c r="W32" s="92"/>
    </row>
    <row r="33" spans="1:23" ht="13.15" customHeight="1" x14ac:dyDescent="0.2">
      <c r="B33" s="34"/>
      <c r="C33" s="50"/>
      <c r="D33" s="103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2"/>
    </row>
    <row r="34" spans="1:23" ht="13.15" customHeight="1" x14ac:dyDescent="0.2">
      <c r="B34" s="1" t="s">
        <v>58</v>
      </c>
      <c r="C34" s="50"/>
      <c r="D34" s="103">
        <f t="array" ref="D34">SUM(E34:V34*discount_factor)</f>
        <v>71.578774525267264</v>
      </c>
      <c r="E34" s="91">
        <f>-SUM(E21:E25)</f>
        <v>0</v>
      </c>
      <c r="F34" s="91">
        <f t="shared" ref="F34:V34" si="16">-SUM(F21:F25)</f>
        <v>4</v>
      </c>
      <c r="G34" s="91">
        <f t="shared" si="16"/>
        <v>0</v>
      </c>
      <c r="H34" s="91">
        <f t="shared" si="16"/>
        <v>8</v>
      </c>
      <c r="I34" s="91">
        <f t="shared" si="16"/>
        <v>0</v>
      </c>
      <c r="J34" s="91">
        <f t="shared" si="16"/>
        <v>0</v>
      </c>
      <c r="K34" s="91">
        <f t="shared" si="16"/>
        <v>8</v>
      </c>
      <c r="L34" s="91">
        <f t="shared" si="16"/>
        <v>16.05</v>
      </c>
      <c r="M34" s="91">
        <f t="shared" si="16"/>
        <v>8.1</v>
      </c>
      <c r="N34" s="91">
        <f t="shared" si="16"/>
        <v>12.15</v>
      </c>
      <c r="O34" s="91">
        <f t="shared" si="16"/>
        <v>16.2</v>
      </c>
      <c r="P34" s="91">
        <f t="shared" si="16"/>
        <v>20.25</v>
      </c>
      <c r="Q34" s="91">
        <f t="shared" si="16"/>
        <v>20.25</v>
      </c>
      <c r="R34" s="91">
        <f t="shared" si="16"/>
        <v>20.25</v>
      </c>
      <c r="S34" s="91">
        <f t="shared" si="16"/>
        <v>20.25</v>
      </c>
      <c r="T34" s="91">
        <f t="shared" si="16"/>
        <v>20.25</v>
      </c>
      <c r="U34" s="91">
        <f t="shared" si="16"/>
        <v>20.25</v>
      </c>
      <c r="V34" s="91">
        <f t="shared" si="16"/>
        <v>0</v>
      </c>
      <c r="W34" s="92"/>
    </row>
    <row r="35" spans="1:23" ht="13.15" customHeight="1" x14ac:dyDescent="0.2">
      <c r="B35" s="24"/>
      <c r="C35" s="51"/>
      <c r="D35" s="51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4"/>
    </row>
    <row r="36" spans="1:23" ht="13.15" customHeight="1" x14ac:dyDescent="0.2">
      <c r="A36" s="6"/>
      <c r="B36" s="6"/>
      <c r="C36" s="7"/>
      <c r="D36" s="7"/>
      <c r="E36" s="7"/>
      <c r="F36" s="8"/>
      <c r="G36" s="8"/>
      <c r="H36" s="8"/>
      <c r="I36" s="8"/>
      <c r="J36" s="8"/>
      <c r="K36" s="8"/>
      <c r="L36" s="8"/>
      <c r="M36" s="8"/>
    </row>
    <row r="37" spans="1:23" ht="13.15" customHeight="1" x14ac:dyDescent="0.2">
      <c r="B37" s="58" t="s">
        <v>16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60"/>
    </row>
    <row r="38" spans="1:23" ht="13.15" customHeight="1" x14ac:dyDescent="0.2">
      <c r="B38" s="1"/>
      <c r="C38" s="2"/>
      <c r="D38" s="2"/>
      <c r="E38" s="2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95"/>
    </row>
    <row r="39" spans="1:23" ht="13.15" customHeight="1" x14ac:dyDescent="0.2">
      <c r="A39" s="13"/>
      <c r="B39" s="37" t="s">
        <v>2</v>
      </c>
      <c r="C39" s="38"/>
      <c r="D39" s="38"/>
      <c r="E39" s="100">
        <v>1</v>
      </c>
      <c r="F39" s="101">
        <f>E39/(1+Discount_rate)</f>
        <v>0.90909090909090906</v>
      </c>
      <c r="G39" s="101">
        <f t="shared" ref="G39:V39" si="17">F39/(1+Discount_rate)</f>
        <v>0.82644628099173545</v>
      </c>
      <c r="H39" s="101">
        <f t="shared" si="17"/>
        <v>0.75131480090157765</v>
      </c>
      <c r="I39" s="101">
        <f t="shared" si="17"/>
        <v>0.68301345536507052</v>
      </c>
      <c r="J39" s="101">
        <f t="shared" si="17"/>
        <v>0.62092132305915493</v>
      </c>
      <c r="K39" s="101">
        <f t="shared" si="17"/>
        <v>0.56447393005377711</v>
      </c>
      <c r="L39" s="101">
        <f t="shared" si="17"/>
        <v>0.51315811823070645</v>
      </c>
      <c r="M39" s="101">
        <f t="shared" si="17"/>
        <v>0.46650738020973309</v>
      </c>
      <c r="N39" s="101">
        <f t="shared" si="17"/>
        <v>0.42409761837248461</v>
      </c>
      <c r="O39" s="101">
        <f t="shared" si="17"/>
        <v>0.38554328942953142</v>
      </c>
      <c r="P39" s="101">
        <f t="shared" si="17"/>
        <v>0.35049389948139215</v>
      </c>
      <c r="Q39" s="101">
        <f t="shared" si="17"/>
        <v>0.31863081771035645</v>
      </c>
      <c r="R39" s="101">
        <f t="shared" si="17"/>
        <v>0.28966437973668768</v>
      </c>
      <c r="S39" s="101">
        <f t="shared" si="17"/>
        <v>0.26333125430607968</v>
      </c>
      <c r="T39" s="101">
        <f t="shared" si="17"/>
        <v>0.23939204936916333</v>
      </c>
      <c r="U39" s="101">
        <f t="shared" si="17"/>
        <v>0.21762913579014848</v>
      </c>
      <c r="V39" s="101">
        <f t="shared" si="17"/>
        <v>0.19784466890013497</v>
      </c>
      <c r="W39" s="97"/>
    </row>
    <row r="40" spans="1:23" ht="13.15" customHeight="1" x14ac:dyDescent="0.2">
      <c r="A40" s="13"/>
      <c r="B40" s="34" t="s">
        <v>34</v>
      </c>
      <c r="C40" s="39"/>
      <c r="D40" s="39"/>
      <c r="E40" s="102">
        <f t="shared" ref="E40:V40" si="18">E39*E30</f>
        <v>-6</v>
      </c>
      <c r="F40" s="102">
        <f t="shared" si="18"/>
        <v>-9.0909090909090899</v>
      </c>
      <c r="G40" s="102">
        <f t="shared" si="18"/>
        <v>-17.355371900826444</v>
      </c>
      <c r="H40" s="102">
        <f t="shared" si="18"/>
        <v>-27.798647633358375</v>
      </c>
      <c r="I40" s="102">
        <f t="shared" si="18"/>
        <v>-35.51669967898367</v>
      </c>
      <c r="J40" s="102">
        <f t="shared" si="18"/>
        <v>-37.876200706608451</v>
      </c>
      <c r="K40" s="102">
        <f t="shared" si="18"/>
        <v>-100.47635954957232</v>
      </c>
      <c r="L40" s="102">
        <f t="shared" si="18"/>
        <v>-59.023446758895858</v>
      </c>
      <c r="M40" s="102">
        <f t="shared" si="18"/>
        <v>43.833033444506526</v>
      </c>
      <c r="N40" s="102">
        <f t="shared" si="18"/>
        <v>59.772318333417978</v>
      </c>
      <c r="O40" s="102">
        <f t="shared" si="18"/>
        <v>72.451294949597553</v>
      </c>
      <c r="P40" s="102">
        <f t="shared" si="18"/>
        <v>82.331016988179016</v>
      </c>
      <c r="Q40" s="102">
        <f t="shared" si="18"/>
        <v>74.846379080162734</v>
      </c>
      <c r="R40" s="102">
        <f t="shared" si="18"/>
        <v>68.042162800147935</v>
      </c>
      <c r="S40" s="102">
        <f t="shared" si="18"/>
        <v>61.856511636498119</v>
      </c>
      <c r="T40" s="102">
        <f t="shared" si="18"/>
        <v>56.23319239681647</v>
      </c>
      <c r="U40" s="102">
        <f t="shared" si="18"/>
        <v>51.121083997105877</v>
      </c>
      <c r="V40" s="102">
        <f t="shared" si="18"/>
        <v>0</v>
      </c>
      <c r="W40" s="61"/>
    </row>
    <row r="41" spans="1:23" ht="13.15" customHeight="1" x14ac:dyDescent="0.2">
      <c r="A41" s="13"/>
      <c r="B41" s="1" t="s">
        <v>30</v>
      </c>
      <c r="C41" s="91">
        <f>SUM(E40:V40)*Develop</f>
        <v>277.34935830727795</v>
      </c>
      <c r="D41" s="39"/>
      <c r="E41" s="39"/>
      <c r="F41" s="39"/>
      <c r="G41" s="39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62"/>
    </row>
    <row r="42" spans="1:23" ht="13.15" customHeight="1" x14ac:dyDescent="0.2">
      <c r="B42" s="24"/>
      <c r="C42" s="105"/>
      <c r="D42" s="25"/>
      <c r="E42" s="25"/>
      <c r="F42" s="96"/>
      <c r="G42" s="26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63"/>
    </row>
    <row r="43" spans="1:23" ht="13.15" customHeight="1" x14ac:dyDescent="0.2"/>
    <row r="44" spans="1:23" ht="13.15" customHeight="1" x14ac:dyDescent="0.2"/>
    <row r="45" spans="1:23" ht="13.15" customHeight="1" x14ac:dyDescent="0.2"/>
    <row r="46" spans="1:23" ht="13.15" customHeight="1" x14ac:dyDescent="0.2"/>
    <row r="47" spans="1:23" ht="13.15" customHeight="1" x14ac:dyDescent="0.2"/>
    <row r="48" spans="1:23" ht="13.15" customHeight="1" x14ac:dyDescent="0.2"/>
    <row r="49" ht="13.15" customHeight="1" x14ac:dyDescent="0.2"/>
    <row r="50" ht="13.15" customHeight="1" x14ac:dyDescent="0.2"/>
    <row r="51" ht="13.15" customHeight="1" x14ac:dyDescent="0.2"/>
    <row r="52" ht="13.15" customHeight="1" x14ac:dyDescent="0.2"/>
    <row r="53" ht="13.15" customHeight="1" x14ac:dyDescent="0.2"/>
    <row r="54" ht="13.15" customHeight="1" x14ac:dyDescent="0.2"/>
    <row r="55" ht="13.15" customHeight="1" x14ac:dyDescent="0.2"/>
    <row r="56" ht="13.15" customHeight="1" x14ac:dyDescent="0.2"/>
    <row r="57" ht="13.15" customHeight="1" x14ac:dyDescent="0.2"/>
    <row r="58" ht="13.15" customHeight="1" x14ac:dyDescent="0.2"/>
    <row r="59" ht="13.15" customHeight="1" x14ac:dyDescent="0.2"/>
    <row r="60" ht="13.15" customHeight="1" x14ac:dyDescent="0.2"/>
    <row r="61" ht="13.15" customHeight="1" x14ac:dyDescent="0.2"/>
    <row r="62" ht="13.15" customHeight="1" x14ac:dyDescent="0.2"/>
    <row r="63" ht="13.15" customHeight="1" x14ac:dyDescent="0.2"/>
    <row r="64" ht="13.15" customHeight="1" x14ac:dyDescent="0.2"/>
    <row r="65" ht="13.15" customHeight="1" x14ac:dyDescent="0.2"/>
    <row r="66" ht="13.15" customHeight="1" x14ac:dyDescent="0.2"/>
    <row r="67" ht="13.15" customHeight="1" x14ac:dyDescent="0.2"/>
    <row r="68" ht="13.15" customHeight="1" x14ac:dyDescent="0.2"/>
    <row r="69" ht="13.15" customHeight="1" x14ac:dyDescent="0.2"/>
    <row r="70" ht="13.15" customHeight="1" x14ac:dyDescent="0.2"/>
    <row r="71" ht="13.15" customHeight="1" x14ac:dyDescent="0.2"/>
    <row r="72" ht="13.15" customHeight="1" x14ac:dyDescent="0.2"/>
    <row r="73" ht="13.15" customHeight="1" x14ac:dyDescent="0.2"/>
    <row r="74" ht="13.15" customHeight="1" x14ac:dyDescent="0.2"/>
    <row r="75" ht="13.15" customHeight="1" x14ac:dyDescent="0.2"/>
    <row r="76" ht="13.15" customHeight="1" x14ac:dyDescent="0.2"/>
    <row r="77" ht="13.15" customHeight="1" x14ac:dyDescent="0.2"/>
    <row r="78" ht="13.15" customHeight="1" x14ac:dyDescent="0.2"/>
    <row r="79" ht="13.15" customHeight="1" x14ac:dyDescent="0.2"/>
    <row r="80" ht="13.15" customHeight="1" x14ac:dyDescent="0.2"/>
    <row r="81" ht="13.15" customHeight="1" x14ac:dyDescent="0.2"/>
    <row r="82" ht="13.15" customHeight="1" x14ac:dyDescent="0.2"/>
    <row r="83" ht="13.15" customHeight="1" x14ac:dyDescent="0.2"/>
    <row r="84" ht="13.15" customHeight="1" x14ac:dyDescent="0.2"/>
    <row r="85" ht="13.15" customHeight="1" x14ac:dyDescent="0.2"/>
    <row r="86" ht="13.15" customHeight="1" x14ac:dyDescent="0.2"/>
    <row r="87" ht="13.15" customHeight="1" x14ac:dyDescent="0.2"/>
    <row r="88" ht="13.15" customHeight="1" x14ac:dyDescent="0.2"/>
    <row r="89" ht="13.15" customHeight="1" x14ac:dyDescent="0.2"/>
    <row r="90" ht="13.15" customHeight="1" x14ac:dyDescent="0.2"/>
    <row r="91" ht="13.15" customHeight="1" x14ac:dyDescent="0.2"/>
    <row r="92" ht="13.15" customHeight="1" x14ac:dyDescent="0.2"/>
    <row r="93" ht="13.15" customHeight="1" x14ac:dyDescent="0.2"/>
    <row r="94" ht="13.15" customHeight="1" x14ac:dyDescent="0.2"/>
    <row r="95" ht="13.15" customHeight="1" x14ac:dyDescent="0.2"/>
    <row r="96" ht="13.15" customHeight="1" x14ac:dyDescent="0.2"/>
    <row r="97" ht="13.15" customHeight="1" x14ac:dyDescent="0.2"/>
    <row r="98" ht="13.15" customHeight="1" x14ac:dyDescent="0.2"/>
    <row r="99" ht="13.15" customHeight="1" x14ac:dyDescent="0.2"/>
    <row r="100" ht="13.15" customHeight="1" x14ac:dyDescent="0.2"/>
    <row r="101" ht="13.15" customHeight="1" x14ac:dyDescent="0.2"/>
    <row r="102" ht="13.15" customHeight="1" x14ac:dyDescent="0.2"/>
    <row r="103" ht="13.15" customHeight="1" x14ac:dyDescent="0.2"/>
    <row r="104" ht="13.15" customHeight="1" x14ac:dyDescent="0.2"/>
    <row r="105" ht="13.15" customHeight="1" x14ac:dyDescent="0.2"/>
    <row r="106" ht="13.15" customHeight="1" x14ac:dyDescent="0.2"/>
    <row r="107" ht="13.15" customHeight="1" x14ac:dyDescent="0.2"/>
    <row r="108" ht="13.15" customHeight="1" x14ac:dyDescent="0.2"/>
    <row r="109" ht="13.15" customHeight="1" x14ac:dyDescent="0.2"/>
    <row r="110" ht="13.15" customHeight="1" x14ac:dyDescent="0.2"/>
    <row r="111" ht="13.15" customHeight="1" x14ac:dyDescent="0.2"/>
    <row r="112" ht="13.15" customHeight="1" x14ac:dyDescent="0.2"/>
    <row r="113" ht="13.15" customHeight="1" x14ac:dyDescent="0.2"/>
    <row r="114" ht="13.15" customHeight="1" x14ac:dyDescent="0.2"/>
    <row r="115" ht="13.15" customHeight="1" x14ac:dyDescent="0.2"/>
    <row r="116" ht="13.15" customHeight="1" x14ac:dyDescent="0.2"/>
    <row r="117" ht="13.15" customHeight="1" x14ac:dyDescent="0.2"/>
    <row r="118" ht="13.15" customHeight="1" x14ac:dyDescent="0.2"/>
    <row r="119" ht="13.15" customHeight="1" x14ac:dyDescent="0.2"/>
    <row r="120" ht="13.15" customHeight="1" x14ac:dyDescent="0.2"/>
    <row r="121" ht="13.15" customHeight="1" x14ac:dyDescent="0.2"/>
    <row r="122" ht="13.15" customHeight="1" x14ac:dyDescent="0.2"/>
    <row r="123" ht="13.15" customHeight="1" x14ac:dyDescent="0.2"/>
    <row r="124" ht="13.15" customHeight="1" x14ac:dyDescent="0.2"/>
    <row r="125" ht="13.15" customHeight="1" x14ac:dyDescent="0.2"/>
    <row r="126" ht="13.15" customHeight="1" x14ac:dyDescent="0.2"/>
    <row r="127" ht="13.15" customHeight="1" x14ac:dyDescent="0.2"/>
    <row r="128" ht="13.15" customHeight="1" x14ac:dyDescent="0.2"/>
    <row r="129" ht="13.15" customHeight="1" x14ac:dyDescent="0.2"/>
    <row r="130" ht="13.15" customHeight="1" x14ac:dyDescent="0.2"/>
    <row r="131" ht="13.15" customHeight="1" x14ac:dyDescent="0.2"/>
    <row r="132" ht="13.15" customHeight="1" x14ac:dyDescent="0.2"/>
    <row r="133" ht="13.15" customHeight="1" x14ac:dyDescent="0.2"/>
    <row r="134" ht="13.15" customHeight="1" x14ac:dyDescent="0.2"/>
    <row r="135" ht="13.15" customHeight="1" x14ac:dyDescent="0.2"/>
    <row r="136" ht="13.15" customHeight="1" x14ac:dyDescent="0.2"/>
    <row r="137" ht="13.15" customHeight="1" x14ac:dyDescent="0.2"/>
    <row r="138" ht="13.15" customHeight="1" x14ac:dyDescent="0.2"/>
    <row r="139" ht="13.15" customHeight="1" x14ac:dyDescent="0.2"/>
    <row r="140" ht="13.15" customHeight="1" x14ac:dyDescent="0.2"/>
    <row r="141" ht="13.15" customHeight="1" x14ac:dyDescent="0.2"/>
    <row r="142" ht="13.15" customHeight="1" x14ac:dyDescent="0.2"/>
    <row r="143" ht="13.15" customHeight="1" x14ac:dyDescent="0.2"/>
    <row r="144" ht="13.15" customHeight="1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</sheetData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45" orientation="portrait" horizontalDpi="4294967292" r:id="rId1"/>
  <headerFooter alignWithMargins="0">
    <oddHeader>&amp;R&amp;"Arial,Fett"&amp;14- Entwurf -</oddHeader>
    <oddFooter>&amp;L&amp;D, &amp;T&amp;CSeite &amp;P / &amp;N&amp;R&amp;F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68</vt:i4>
      </vt:variant>
    </vt:vector>
  </HeadingPairs>
  <TitlesOfParts>
    <vt:vector size="71" baseType="lpstr">
      <vt:lpstr>Assumptions</vt:lpstr>
      <vt:lpstr>Probabilities</vt:lpstr>
      <vt:lpstr>DCF</vt:lpstr>
      <vt:lpstr>Adjusted_peak_sales</vt:lpstr>
      <vt:lpstr>COGS</vt:lpstr>
      <vt:lpstr>dev_cost_phase1</vt:lpstr>
      <vt:lpstr>dev_cost_phase2</vt:lpstr>
      <vt:lpstr>dev_cost_phase3</vt:lpstr>
      <vt:lpstr>dev_cost_reg</vt:lpstr>
      <vt:lpstr>Develop</vt:lpstr>
      <vt:lpstr>discount_factor</vt:lpstr>
      <vt:lpstr>Discount_rate</vt:lpstr>
      <vt:lpstr>FCF_post_launch</vt:lpstr>
      <vt:lpstr>FCF_pre_launch</vt:lpstr>
      <vt:lpstr>FDA_approval</vt:lpstr>
      <vt:lpstr>Free_Cash_Flow</vt:lpstr>
      <vt:lpstr>Key_competitor_outcome</vt:lpstr>
      <vt:lpstr>launch_cost</vt:lpstr>
      <vt:lpstr>Launch_costs</vt:lpstr>
      <vt:lpstr>launch_year</vt:lpstr>
      <vt:lpstr>Licensor_CF_Phase_1</vt:lpstr>
      <vt:lpstr>Licensor_CF_Phase_2</vt:lpstr>
      <vt:lpstr>Licensor_CF_Phase_3</vt:lpstr>
      <vt:lpstr>Licensor_CF_Registration</vt:lpstr>
      <vt:lpstr>Licensor_CF_Royalties</vt:lpstr>
      <vt:lpstr>Licensor_PV_Phase_1</vt:lpstr>
      <vt:lpstr>Licensor_PV_Phase_2</vt:lpstr>
      <vt:lpstr>Licensor_PV_Phase_3</vt:lpstr>
      <vt:lpstr>Licensor_PV_Registration</vt:lpstr>
      <vt:lpstr>Licensor_PV_Royalties</vt:lpstr>
      <vt:lpstr>Market_share</vt:lpstr>
      <vt:lpstr>Market_size</vt:lpstr>
      <vt:lpstr>marketing_cost_rate</vt:lpstr>
      <vt:lpstr>milestone_payments</vt:lpstr>
      <vt:lpstr>Ongoing_costs</vt:lpstr>
      <vt:lpstr>patent_expiry</vt:lpstr>
      <vt:lpstr>Peak_sales</vt:lpstr>
      <vt:lpstr>peak_sales_table</vt:lpstr>
      <vt:lpstr>Phase_1_costs</vt:lpstr>
      <vt:lpstr>Phase_1_payment</vt:lpstr>
      <vt:lpstr>Phase_1_success</vt:lpstr>
      <vt:lpstr>Phase_2_costs</vt:lpstr>
      <vt:lpstr>Phase_2_payment</vt:lpstr>
      <vt:lpstr>Phase_2_success</vt:lpstr>
      <vt:lpstr>Phase_3_costs</vt:lpstr>
      <vt:lpstr>Phase_3_payment</vt:lpstr>
      <vt:lpstr>Phase_3_success</vt:lpstr>
      <vt:lpstr>Pricing</vt:lpstr>
      <vt:lpstr>Assumptions!Print_Area</vt:lpstr>
      <vt:lpstr>DCF!Print_Area</vt:lpstr>
      <vt:lpstr>prob_fda_approval</vt:lpstr>
      <vt:lpstr>prob_success_phase1</vt:lpstr>
      <vt:lpstr>prob_success_phase3</vt:lpstr>
      <vt:lpstr>probs_competitor_outcome</vt:lpstr>
      <vt:lpstr>probs_market_share</vt:lpstr>
      <vt:lpstr>probs_market_size</vt:lpstr>
      <vt:lpstr>probs_phase2</vt:lpstr>
      <vt:lpstr>probs_pricing</vt:lpstr>
      <vt:lpstr>PV_Development</vt:lpstr>
      <vt:lpstr>PV_Launch</vt:lpstr>
      <vt:lpstr>PV_Phase_1</vt:lpstr>
      <vt:lpstr>PV_Phase_2</vt:lpstr>
      <vt:lpstr>PV_Phase_3</vt:lpstr>
      <vt:lpstr>PV_post_launch</vt:lpstr>
      <vt:lpstr>PV_Registration</vt:lpstr>
      <vt:lpstr>Registration_costs</vt:lpstr>
      <vt:lpstr>Registration_payment</vt:lpstr>
      <vt:lpstr>royalty_rate</vt:lpstr>
      <vt:lpstr>Start_year</vt:lpstr>
      <vt:lpstr>Total_NPV</vt:lpstr>
      <vt:lpstr>Years_to_peak</vt:lpstr>
    </vt:vector>
  </TitlesOfParts>
  <Company>Syncopation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Syncopation</dc:creator>
  <cp:lastModifiedBy>nfranz</cp:lastModifiedBy>
  <cp:lastPrinted>2002-10-22T16:50:09Z</cp:lastPrinted>
  <dcterms:created xsi:type="dcterms:W3CDTF">2001-08-16T13:41:13Z</dcterms:created>
  <dcterms:modified xsi:type="dcterms:W3CDTF">2022-05-10T19:34:21Z</dcterms:modified>
</cp:coreProperties>
</file>